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45" windowHeight="9330" tabRatio="968" activeTab="1"/>
  </bookViews>
  <sheets>
    <sheet name="Aktivitetsresultat" sheetId="1" r:id="rId1"/>
    <sheet name="Balanse" sheetId="2" r:id="rId2"/>
    <sheet name="Resultat per aktivitet total" sheetId="3" r:id="rId3"/>
    <sheet name="Res per aktivitet" sheetId="4" r:id="rId4"/>
    <sheet name="Noter" sheetId="5" r:id="rId5"/>
    <sheet name="Resultat" sheetId="6" r:id="rId6"/>
  </sheets>
  <definedNames>
    <definedName name="_xlnm.Print_Area" localSheetId="4">'Noter'!$A$1:$G$105</definedName>
  </definedNames>
  <calcPr fullCalcOnLoad="1"/>
</workbook>
</file>

<file path=xl/sharedStrings.xml><?xml version="1.0" encoding="utf-8"?>
<sst xmlns="http://schemas.openxmlformats.org/spreadsheetml/2006/main" count="371" uniqueCount="241">
  <si>
    <t>Netto</t>
  </si>
  <si>
    <t xml:space="preserve"> </t>
  </si>
  <si>
    <t>Inntekter</t>
  </si>
  <si>
    <t>Kostnader</t>
  </si>
  <si>
    <t>inntekter</t>
  </si>
  <si>
    <t>Administrasjon</t>
  </si>
  <si>
    <t>Institusjonsutvalget</t>
  </si>
  <si>
    <t>Kvalitetsutvalget</t>
  </si>
  <si>
    <t>Kurs</t>
  </si>
  <si>
    <t>Norsk arbeidsmedisinsk forening</t>
  </si>
  <si>
    <t>Regnskap</t>
  </si>
  <si>
    <t xml:space="preserve">Tilskudd </t>
  </si>
  <si>
    <t>Diverse inntekter</t>
  </si>
  <si>
    <t>Fremmedtjenester</t>
  </si>
  <si>
    <t>Kontorhold</t>
  </si>
  <si>
    <t>Reise- og møtekostnader</t>
  </si>
  <si>
    <t>Andre driftsutgifter</t>
  </si>
  <si>
    <t>Renteinntekter</t>
  </si>
  <si>
    <t>Rentekostnader</t>
  </si>
  <si>
    <t>Budsjett</t>
  </si>
  <si>
    <t xml:space="preserve">Norsk arbeidsmedisinsk forening </t>
  </si>
  <si>
    <t>Overført til/fra egenkapital</t>
  </si>
  <si>
    <t>Kortsiktig gjeld</t>
  </si>
  <si>
    <t>Note</t>
  </si>
  <si>
    <t>Leder</t>
  </si>
  <si>
    <t>Nestleder</t>
  </si>
  <si>
    <t>Produksjonskostnader</t>
  </si>
  <si>
    <t>Vår/høstkonferanse</t>
  </si>
  <si>
    <t>Kont. Ass. Medl.</t>
  </si>
  <si>
    <t>Bladet/redaksjonsutvalget</t>
  </si>
  <si>
    <t>Fylkestillitsutv.(Tariffkurs)</t>
  </si>
  <si>
    <t>Faste utvalg/aktiviteter</t>
  </si>
  <si>
    <t>Arne Morterud</t>
  </si>
  <si>
    <t>Hill Øien</t>
  </si>
  <si>
    <t>Personalkostnader</t>
  </si>
  <si>
    <t>Svalbardkurs</t>
  </si>
  <si>
    <t>Kontingent</t>
  </si>
  <si>
    <t>Vetlsen Kristian</t>
  </si>
  <si>
    <t>Årets resultat</t>
  </si>
  <si>
    <t>Resultatrapport</t>
  </si>
  <si>
    <t>Balanse</t>
  </si>
  <si>
    <t>Internasjonalt arbeid</t>
  </si>
  <si>
    <t>Kursinntekter</t>
  </si>
  <si>
    <t>Driftsinntekter</t>
  </si>
  <si>
    <t>Sum driftsinntekter</t>
  </si>
  <si>
    <t>Abonnementinntekter</t>
  </si>
  <si>
    <t>Driftskostnader</t>
  </si>
  <si>
    <t>Kontingenter og deltakeravgifter</t>
  </si>
  <si>
    <t>Avskriving anleggsmidler</t>
  </si>
  <si>
    <t>Sum driftskostnader</t>
  </si>
  <si>
    <t>Driftsresultat</t>
  </si>
  <si>
    <t>Finansinntekter/-kostnader</t>
  </si>
  <si>
    <t>Netto finansposter</t>
  </si>
  <si>
    <t>Resultat</t>
  </si>
  <si>
    <t>Overføringer</t>
  </si>
  <si>
    <t>Sum overføringer</t>
  </si>
  <si>
    <t>Annonser</t>
  </si>
  <si>
    <t>31. desember</t>
  </si>
  <si>
    <t>Omløpsmidler</t>
  </si>
  <si>
    <t>Kundefordringer</t>
  </si>
  <si>
    <t>Andre kortsiktige fordringer</t>
  </si>
  <si>
    <t>Bankinnskudd</t>
  </si>
  <si>
    <t>Sum omløpsmidler</t>
  </si>
  <si>
    <t>Sum eiendeler</t>
  </si>
  <si>
    <t>Leverandørgjeld</t>
  </si>
  <si>
    <t>Trekk og avgifter</t>
  </si>
  <si>
    <t>Påløpte kostnader</t>
  </si>
  <si>
    <t>Annen kortsiktig gjeld</t>
  </si>
  <si>
    <t>Sum kortsiktig gjeld</t>
  </si>
  <si>
    <t>Sum</t>
  </si>
  <si>
    <t>Salg</t>
  </si>
  <si>
    <t>Abb.ment</t>
  </si>
  <si>
    <t>Diverse</t>
  </si>
  <si>
    <t>tilskudd</t>
  </si>
  <si>
    <t>Avskriving</t>
  </si>
  <si>
    <t>Personal-</t>
  </si>
  <si>
    <t>Fremmed-</t>
  </si>
  <si>
    <t>Reise og</t>
  </si>
  <si>
    <t xml:space="preserve">Andre </t>
  </si>
  <si>
    <t>Finans-</t>
  </si>
  <si>
    <t>annonser</t>
  </si>
  <si>
    <t>innt.</t>
  </si>
  <si>
    <t>diverse</t>
  </si>
  <si>
    <t xml:space="preserve"> driftsinnt.</t>
  </si>
  <si>
    <t>anleggsm.</t>
  </si>
  <si>
    <t>kostnader</t>
  </si>
  <si>
    <t>tjenester</t>
  </si>
  <si>
    <t>møtekost.</t>
  </si>
  <si>
    <t>driftskost.</t>
  </si>
  <si>
    <t>driftskostn.</t>
  </si>
  <si>
    <t>Innt.</t>
  </si>
  <si>
    <t>finans</t>
  </si>
  <si>
    <t>resultat</t>
  </si>
  <si>
    <t>Produk-</t>
  </si>
  <si>
    <t>sjonskostn.</t>
  </si>
  <si>
    <t>Kontor-</t>
  </si>
  <si>
    <t>hold</t>
  </si>
  <si>
    <t>deltakeravg.</t>
  </si>
  <si>
    <t>Finansposter</t>
  </si>
  <si>
    <t>Oslo 12. mars  2007</t>
  </si>
  <si>
    <t>Norsk forening for arb.med</t>
  </si>
  <si>
    <t>Fjellanger Inger Lise</t>
  </si>
  <si>
    <t>Trond Skaflestad</t>
  </si>
  <si>
    <t>Medlems</t>
  </si>
  <si>
    <t>Medlemsinntekter</t>
  </si>
  <si>
    <t>Andel resultat NFAM</t>
  </si>
  <si>
    <t>Avdeling</t>
  </si>
  <si>
    <t>Aktivitet</t>
  </si>
  <si>
    <t>Administrasjonen</t>
  </si>
  <si>
    <t>Faglige arbeid</t>
  </si>
  <si>
    <t>Styrearbeid</t>
  </si>
  <si>
    <t>Styret - administrasjon</t>
  </si>
  <si>
    <t>Kurs og konferanser</t>
  </si>
  <si>
    <t>Tidsskrift</t>
  </si>
  <si>
    <t>NAR</t>
  </si>
  <si>
    <t>Noter</t>
  </si>
  <si>
    <t>Anskaffede midler</t>
  </si>
  <si>
    <t>4</t>
  </si>
  <si>
    <t>Tilskudd</t>
  </si>
  <si>
    <t>Sum anskaffede midler</t>
  </si>
  <si>
    <t>Aktivitetet som oppfyller formålet</t>
  </si>
  <si>
    <t>Andre inntekter</t>
  </si>
  <si>
    <t>Abonnement</t>
  </si>
  <si>
    <t>Sum aktiviteter som oppfyller formålet</t>
  </si>
  <si>
    <t>Aktivitetet som skaper inntekter</t>
  </si>
  <si>
    <t>5</t>
  </si>
  <si>
    <t>Standleie</t>
  </si>
  <si>
    <t>Sum aktiviteter som skaper inntekter</t>
  </si>
  <si>
    <t>Finansinntekter</t>
  </si>
  <si>
    <t>Forbrukte midler</t>
  </si>
  <si>
    <t>Kostnader til anskaffelse av midler</t>
  </si>
  <si>
    <t>Kostnader ved annonsesalg</t>
  </si>
  <si>
    <t>Sum kostnader anskaffelse av midler</t>
  </si>
  <si>
    <t>Kostnader til formålet</t>
  </si>
  <si>
    <t>Produksjonskostnader tidsskrift</t>
  </si>
  <si>
    <t>Informasjon/kommunikasjon</t>
  </si>
  <si>
    <t>Norsk forening for arbeidsmedisin</t>
  </si>
  <si>
    <t>Sum kostnader til formålet</t>
  </si>
  <si>
    <t>6</t>
  </si>
  <si>
    <t>Administrasjonskostnader</t>
  </si>
  <si>
    <t>Sum forbrukte midler</t>
  </si>
  <si>
    <t>Årets aktivitetsresultat</t>
  </si>
  <si>
    <t>Tillegg/reduksjon formålskapital (egenkapitalen)</t>
  </si>
  <si>
    <t>Overført fra formålskapitalen med eksterne restriksjoner</t>
  </si>
  <si>
    <t>Overført til formålskapitalen med selvpålagte restriksjoner</t>
  </si>
  <si>
    <t>Overført til formålskapitalen med eksterne restriksjoner</t>
  </si>
  <si>
    <t>Sum tillegg formålskapital (egenkapital)</t>
  </si>
  <si>
    <t>Aktivitetsregnskap</t>
  </si>
  <si>
    <t>NFAM</t>
  </si>
  <si>
    <t xml:space="preserve">Omløpsmidler vurderes til laveste av anskaffelseskost og virkelig verdi. Kortsiktig </t>
  </si>
  <si>
    <t>gjeld balanseføres til nominelt beløp på etableringstidspunktet.</t>
  </si>
  <si>
    <t>Sum kostnader</t>
  </si>
  <si>
    <t>Styrehonorar</t>
  </si>
  <si>
    <t>Styrets nestleder</t>
  </si>
  <si>
    <t>Leder av institusjonsutvalget</t>
  </si>
  <si>
    <t>Note 1.  Regnskapsprinsipper</t>
  </si>
  <si>
    <t>(Standarden) og består av følgende:</t>
  </si>
  <si>
    <t>-</t>
  </si>
  <si>
    <t>Foreningen er ikke skattepliktig for sin virksomhet, jfr. Skattelovens §2-32</t>
  </si>
  <si>
    <t>Fordringer som skal tilbakebetales innen et år er klassifisert som omløpsmidler.</t>
  </si>
  <si>
    <t xml:space="preserve">Eiendeler bestemt til varig eie eller bruk er klassifisert som anleggsmidler. Andre eiendeler er </t>
  </si>
  <si>
    <t xml:space="preserve">klassifisert som omløpsmidler.  Anleggsmidler med begrenset økonomisk levetid avskrives </t>
  </si>
  <si>
    <t>planmessig.</t>
  </si>
  <si>
    <t xml:space="preserve">Kontingenter inntektsføres i den perioden medlemskapet gjelder. Inntektsføring av </t>
  </si>
  <si>
    <t>annonseinntektene skjer når annonsen er levert. Videre inntektsføres tilskudd i den periode</t>
  </si>
  <si>
    <t>de er bevilget til og kursinntekter inntektsføres når kurset er gjennomført.</t>
  </si>
  <si>
    <t>Note 2. Kostnader etter art</t>
  </si>
  <si>
    <t>Finanskostnader</t>
  </si>
  <si>
    <t>I aktivitetsregnskapet er inntekter og kostnader i den grad det er mulig fordelt på aktivitet.</t>
  </si>
  <si>
    <t>Note 3.  Medlemsinntekter</t>
  </si>
  <si>
    <t>Beløp</t>
  </si>
  <si>
    <t>Formålsprosent og administrasjonsprosent beregnes som midler anvendt til formålet, hhv til</t>
  </si>
  <si>
    <t>Adm. Prosent</t>
  </si>
  <si>
    <t>Formålsprosent</t>
  </si>
  <si>
    <t>Administrasjonsprosent</t>
  </si>
  <si>
    <t>Formåls-</t>
  </si>
  <si>
    <t>kapital</t>
  </si>
  <si>
    <t>Foreningen har ingen ansatte</t>
  </si>
  <si>
    <t>Arbeidsgiveravgift</t>
  </si>
  <si>
    <t>Foreningen er ikke pliktig til å ha tjenstepensjonsordning etter lov om obligatorisk tjeneste</t>
  </si>
  <si>
    <t>pensjon.</t>
  </si>
  <si>
    <t>Godgjørelse til ledelsen</t>
  </si>
  <si>
    <t xml:space="preserve">Andre ytelser </t>
  </si>
  <si>
    <t xml:space="preserve">Øvrige medl. styre </t>
  </si>
  <si>
    <t>ordinær revisjon.</t>
  </si>
  <si>
    <t xml:space="preserve">Den norske legeforening innkrever de ordinære kontingentene for Namf. </t>
  </si>
  <si>
    <t>Finansinntekter inngår i linjen finansinntekter.</t>
  </si>
  <si>
    <t>Det omfatter også finansposter. Forbrukte midler består av sum driftskostnader.</t>
  </si>
  <si>
    <t>3</t>
  </si>
  <si>
    <t>Fri formålskapital</t>
  </si>
  <si>
    <t>Sum opptjent formålskapital</t>
  </si>
  <si>
    <t>Sum formålskapital og gjeld</t>
  </si>
  <si>
    <t>Eiendeler</t>
  </si>
  <si>
    <t>Formålskapital og gjeld</t>
  </si>
  <si>
    <t>Fagseminar</t>
  </si>
  <si>
    <t>Hindenes Jarand</t>
  </si>
  <si>
    <t>Tynes Tore</t>
  </si>
  <si>
    <t>Årsregnskapet er satt opp i samsvar med God Regnskapsskikk (F) for ideelle Organisasjoner</t>
  </si>
  <si>
    <t>administrasjon i forhold til sum forbrukte midler.</t>
  </si>
  <si>
    <t>Driftskostnader spesifisert etter art:</t>
  </si>
  <si>
    <t>Fagseminar / kurs</t>
  </si>
  <si>
    <t>2011</t>
  </si>
  <si>
    <t>Skyberg Knut</t>
  </si>
  <si>
    <t>Eriksen Tone</t>
  </si>
  <si>
    <t>Johnsen Helle L.</t>
  </si>
  <si>
    <t>Andre driftskostnader</t>
  </si>
  <si>
    <t>Styrets leder tom august</t>
  </si>
  <si>
    <t>2012</t>
  </si>
  <si>
    <t>Internasjonalt helseprosjekt</t>
  </si>
  <si>
    <t xml:space="preserve">Styrets leder </t>
  </si>
  <si>
    <t>*Redaksjonskomiteen (4 medlemmer)</t>
  </si>
  <si>
    <t>*Honorar til redaksjonskomiteen fordeles likt mellom Namf og Nfam ved årets slutt.</t>
  </si>
  <si>
    <t>7</t>
  </si>
  <si>
    <t>Note 4.  Tidsskriftet Ramazzini</t>
  </si>
  <si>
    <t>Andre kostander</t>
  </si>
  <si>
    <t>Sum kostander</t>
  </si>
  <si>
    <t>Reise/møtekostander</t>
  </si>
  <si>
    <t>Note 5. Kurs og konferansekostnader</t>
  </si>
  <si>
    <t>Note 6. Administrasjons- og formålsprosent</t>
  </si>
  <si>
    <t>Note 7. Formålskapital</t>
  </si>
  <si>
    <t>Note 8. Personalkostnader, ytelser til ledelsen og revisor</t>
  </si>
  <si>
    <t>Fordeling honorar inklusive aga</t>
  </si>
  <si>
    <t>Andre personalkostander</t>
  </si>
  <si>
    <t>Honorar/møtegodtgjørelse</t>
  </si>
  <si>
    <t>Totalt</t>
  </si>
  <si>
    <t>Andel Namf</t>
  </si>
  <si>
    <t>6,8</t>
  </si>
  <si>
    <t>Overført til / (fra) annen formålskapital</t>
  </si>
  <si>
    <t>2013</t>
  </si>
  <si>
    <t>Regnskap per aktivitet 2013</t>
  </si>
  <si>
    <t>inntekter 2012</t>
  </si>
  <si>
    <t>Resultatrapport per aktivitet 2013</t>
  </si>
  <si>
    <t>Noter til årsregnskapet 2013</t>
  </si>
  <si>
    <t xml:space="preserve">Arntzen Knut Jørgen </t>
  </si>
  <si>
    <t xml:space="preserve">Conradi Slørdahl Hilde </t>
  </si>
  <si>
    <t>Formålskapital  per 31.12. 2013</t>
  </si>
  <si>
    <t>Formålskapital per 1.1. 2013</t>
  </si>
  <si>
    <t>for 2013 fordeler seg som følger:</t>
  </si>
  <si>
    <t>Oslo 2.april 2014</t>
  </si>
  <si>
    <t xml:space="preserve">Det er i 2013 kostnadsført honorar til revisor med kr 16 938 inkl. mva, der hele beløpet gjelder </t>
  </si>
  <si>
    <t>Tidsskriftet Ramazzini fordeles likt mellom Namf og Nfam. Totale inntekter og kostander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</si>
</sst>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  <numFmt numFmtId="175" formatCode="#,##0.0"/>
    <numFmt numFmtId="176" formatCode="_ * #,##0.0000_ ;_ * \-#,##0.0000_ ;_ * &quot;-&quot;??_ ;_ @_ "/>
    <numFmt numFmtId="177" formatCode="d/m/yyyy"/>
    <numFmt numFmtId="178" formatCode="_ * #,##0.00000_ ;_ * \-#,##0.00000_ ;_ * &quot;-&quot;??_ ;_ @_ "/>
    <numFmt numFmtId="179" formatCode="_ * #,##0.000000_ ;_ * \-#,##0.000000_ ;_ * &quot;-&quot;??_ ;_ @_ "/>
    <numFmt numFmtId="180" formatCode="0.0"/>
    <numFmt numFmtId="181" formatCode="#,##0.00000000000000000000"/>
    <numFmt numFmtId="182" formatCode="[$-414]d\.\ mmmm\ yyyy"/>
    <numFmt numFmtId="183" formatCode="_ * #,##0_ ;_ * \-#,##0_ ;_ * &quot;&quot;_ ;_ @_ "/>
  </numFmts>
  <fonts count="56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4" fontId="7" fillId="0" borderId="0" xfId="41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/>
    </xf>
    <xf numFmtId="174" fontId="10" fillId="0" borderId="0" xfId="41" applyNumberFormat="1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4" fontId="10" fillId="0" borderId="0" xfId="41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174" fontId="10" fillId="0" borderId="11" xfId="41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4" fontId="10" fillId="0" borderId="0" xfId="41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174" fontId="12" fillId="33" borderId="0" xfId="4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33" borderId="0" xfId="41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7" fillId="0" borderId="0" xfId="4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0" xfId="41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41" fontId="12" fillId="0" borderId="13" xfId="41" applyNumberFormat="1" applyFont="1" applyBorder="1" applyAlignment="1">
      <alignment/>
    </xf>
    <xf numFmtId="174" fontId="12" fillId="0" borderId="0" xfId="41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7" fillId="0" borderId="0" xfId="41" applyNumberFormat="1" applyFont="1" applyBorder="1" applyAlignment="1">
      <alignment horizontal="right"/>
    </xf>
    <xf numFmtId="174" fontId="7" fillId="0" borderId="11" xfId="41" applyNumberFormat="1" applyFont="1" applyBorder="1" applyAlignment="1">
      <alignment horizontal="center"/>
    </xf>
    <xf numFmtId="41" fontId="12" fillId="0" borderId="10" xfId="41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41" applyNumberFormat="1" applyFont="1" applyFill="1" applyBorder="1" applyAlignment="1">
      <alignment horizontal="center"/>
    </xf>
    <xf numFmtId="174" fontId="7" fillId="0" borderId="0" xfId="41" applyNumberFormat="1" applyFont="1" applyFill="1" applyBorder="1" applyAlignment="1">
      <alignment horizontal="center"/>
    </xf>
    <xf numFmtId="41" fontId="12" fillId="0" borderId="13" xfId="41" applyNumberFormat="1" applyFont="1" applyBorder="1" applyAlignment="1">
      <alignment horizontal="center"/>
    </xf>
    <xf numFmtId="41" fontId="12" fillId="0" borderId="0" xfId="41" applyNumberFormat="1" applyFont="1" applyBorder="1" applyAlignment="1">
      <alignment horizontal="center"/>
    </xf>
    <xf numFmtId="41" fontId="12" fillId="0" borderId="10" xfId="4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4" fontId="7" fillId="0" borderId="0" xfId="41" applyNumberFormat="1" applyFont="1" applyAlignment="1">
      <alignment horizontal="center"/>
    </xf>
    <xf numFmtId="0" fontId="12" fillId="0" borderId="13" xfId="0" applyFont="1" applyFill="1" applyBorder="1" applyAlignment="1">
      <alignment/>
    </xf>
    <xf numFmtId="174" fontId="12" fillId="0" borderId="13" xfId="41" applyNumberFormat="1" applyFont="1" applyFill="1" applyBorder="1" applyAlignment="1">
      <alignment horizontal="center"/>
    </xf>
    <xf numFmtId="174" fontId="12" fillId="33" borderId="11" xfId="41" applyNumberFormat="1" applyFont="1" applyFill="1" applyBorder="1" applyAlignment="1">
      <alignment horizontal="center"/>
    </xf>
    <xf numFmtId="174" fontId="7" fillId="0" borderId="0" xfId="41" applyNumberFormat="1" applyFont="1" applyBorder="1" applyAlignment="1">
      <alignment/>
    </xf>
    <xf numFmtId="174" fontId="7" fillId="0" borderId="0" xfId="41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14" xfId="0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 horizontal="right"/>
    </xf>
    <xf numFmtId="174" fontId="10" fillId="0" borderId="0" xfId="41" applyNumberFormat="1" applyFont="1" applyAlignment="1" quotePrefix="1">
      <alignment horizontal="right"/>
    </xf>
    <xf numFmtId="3" fontId="11" fillId="0" borderId="0" xfId="0" applyNumberFormat="1" applyFont="1" applyAlignment="1">
      <alignment/>
    </xf>
    <xf numFmtId="174" fontId="10" fillId="0" borderId="0" xfId="41" applyNumberFormat="1" applyFont="1" applyAlignment="1">
      <alignment/>
    </xf>
    <xf numFmtId="0" fontId="10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174" fontId="12" fillId="0" borderId="12" xfId="4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4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41" fontId="7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41" fontId="19" fillId="0" borderId="0" xfId="41" applyNumberFormat="1" applyFont="1" applyAlignment="1">
      <alignment/>
    </xf>
    <xf numFmtId="3" fontId="12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4" fontId="19" fillId="0" borderId="0" xfId="41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12" fillId="0" borderId="13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34" borderId="12" xfId="0" applyFont="1" applyFill="1" applyBorder="1" applyAlignment="1">
      <alignment/>
    </xf>
    <xf numFmtId="49" fontId="12" fillId="34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3" fontId="12" fillId="34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49" fontId="7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/>
    </xf>
    <xf numFmtId="41" fontId="17" fillId="0" borderId="19" xfId="0" applyNumberFormat="1" applyFont="1" applyFill="1" applyBorder="1" applyAlignment="1">
      <alignment/>
    </xf>
    <xf numFmtId="41" fontId="17" fillId="0" borderId="20" xfId="0" applyNumberFormat="1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41" fontId="15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/>
    </xf>
    <xf numFmtId="41" fontId="15" fillId="0" borderId="26" xfId="0" applyNumberFormat="1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Fill="1" applyBorder="1" applyAlignment="1">
      <alignment/>
    </xf>
    <xf numFmtId="41" fontId="15" fillId="0" borderId="29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3" fontId="12" fillId="0" borderId="13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3" fontId="12" fillId="0" borderId="0" xfId="41" applyNumberFormat="1" applyFont="1" applyBorder="1" applyAlignment="1">
      <alignment horizontal="right"/>
    </xf>
    <xf numFmtId="3" fontId="12" fillId="0" borderId="13" xfId="41" applyNumberFormat="1" applyFont="1" applyBorder="1" applyAlignment="1">
      <alignment/>
    </xf>
    <xf numFmtId="3" fontId="7" fillId="0" borderId="13" xfId="41" applyNumberFormat="1" applyFont="1" applyBorder="1" applyAlignment="1">
      <alignment horizontal="right"/>
    </xf>
    <xf numFmtId="3" fontId="12" fillId="0" borderId="10" xfId="41" applyNumberFormat="1" applyFont="1" applyFill="1" applyBorder="1" applyAlignment="1">
      <alignment horizontal="right"/>
    </xf>
    <xf numFmtId="3" fontId="7" fillId="0" borderId="0" xfId="41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183" fontId="16" fillId="0" borderId="23" xfId="0" applyNumberFormat="1" applyFont="1" applyBorder="1" applyAlignment="1">
      <alignment/>
    </xf>
    <xf numFmtId="183" fontId="15" fillId="0" borderId="23" xfId="0" applyNumberFormat="1" applyFont="1" applyBorder="1" applyAlignment="1">
      <alignment/>
    </xf>
    <xf numFmtId="3" fontId="17" fillId="0" borderId="23" xfId="0" applyNumberFormat="1" applyFont="1" applyFill="1" applyBorder="1" applyAlignment="1">
      <alignment/>
    </xf>
    <xf numFmtId="183" fontId="17" fillId="0" borderId="23" xfId="0" applyNumberFormat="1" applyFont="1" applyFill="1" applyBorder="1" applyAlignment="1">
      <alignment/>
    </xf>
    <xf numFmtId="183" fontId="15" fillId="0" borderId="26" xfId="0" applyNumberFormat="1" applyFont="1" applyBorder="1" applyAlignment="1">
      <alignment/>
    </xf>
    <xf numFmtId="3" fontId="17" fillId="0" borderId="26" xfId="0" applyNumberFormat="1" applyFont="1" applyFill="1" applyBorder="1" applyAlignment="1">
      <alignment/>
    </xf>
    <xf numFmtId="183" fontId="17" fillId="0" borderId="26" xfId="0" applyNumberFormat="1" applyFont="1" applyFill="1" applyBorder="1" applyAlignment="1">
      <alignment/>
    </xf>
    <xf numFmtId="183" fontId="16" fillId="0" borderId="26" xfId="0" applyNumberFormat="1" applyFont="1" applyBorder="1" applyAlignment="1">
      <alignment/>
    </xf>
    <xf numFmtId="183" fontId="15" fillId="0" borderId="29" xfId="0" applyNumberFormat="1" applyFont="1" applyBorder="1" applyAlignment="1">
      <alignment/>
    </xf>
    <xf numFmtId="3" fontId="17" fillId="0" borderId="29" xfId="0" applyNumberFormat="1" applyFont="1" applyFill="1" applyBorder="1" applyAlignment="1">
      <alignment/>
    </xf>
    <xf numFmtId="183" fontId="16" fillId="0" borderId="29" xfId="0" applyNumberFormat="1" applyFont="1" applyBorder="1" applyAlignment="1">
      <alignment/>
    </xf>
    <xf numFmtId="183" fontId="17" fillId="0" borderId="29" xfId="0" applyNumberFormat="1" applyFont="1" applyFill="1" applyBorder="1" applyAlignment="1">
      <alignment/>
    </xf>
    <xf numFmtId="3" fontId="7" fillId="0" borderId="0" xfId="41" applyNumberFormat="1" applyFont="1" applyBorder="1" applyAlignment="1">
      <alignment/>
    </xf>
    <xf numFmtId="3" fontId="12" fillId="0" borderId="13" xfId="41" applyNumberFormat="1" applyFont="1" applyBorder="1" applyAlignment="1">
      <alignment/>
    </xf>
    <xf numFmtId="3" fontId="12" fillId="0" borderId="10" xfId="4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41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17" fillId="0" borderId="18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31" xfId="0" applyFont="1" applyBorder="1" applyAlignment="1">
      <alignment/>
    </xf>
    <xf numFmtId="3" fontId="15" fillId="0" borderId="15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49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34" borderId="18" xfId="0" applyNumberFormat="1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3" fontId="17" fillId="34" borderId="31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left"/>
    </xf>
    <xf numFmtId="3" fontId="15" fillId="0" borderId="16" xfId="0" applyNumberFormat="1" applyFont="1" applyBorder="1" applyAlignment="1">
      <alignment/>
    </xf>
    <xf numFmtId="1" fontId="17" fillId="34" borderId="18" xfId="0" applyNumberFormat="1" applyFont="1" applyFill="1" applyBorder="1" applyAlignment="1">
      <alignment horizontal="left" vertical="center"/>
    </xf>
    <xf numFmtId="0" fontId="15" fillId="0" borderId="13" xfId="0" applyFont="1" applyBorder="1" applyAlignment="1">
      <alignment/>
    </xf>
    <xf numFmtId="3" fontId="17" fillId="34" borderId="31" xfId="0" applyNumberFormat="1" applyFont="1" applyFill="1" applyBorder="1" applyAlignment="1">
      <alignment vertical="center"/>
    </xf>
    <xf numFmtId="0" fontId="7" fillId="0" borderId="0" xfId="0" applyFont="1" applyAlignment="1">
      <alignment horizontal="left" indent="3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0" xfId="0" applyFont="1" applyBorder="1" applyAlignment="1">
      <alignment horizontal="left" indent="3"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right"/>
    </xf>
    <xf numFmtId="9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9" fontId="15" fillId="0" borderId="0" xfId="49" applyFont="1" applyAlignment="1">
      <alignment/>
    </xf>
    <xf numFmtId="3" fontId="17" fillId="0" borderId="10" xfId="0" applyNumberFormat="1" applyFont="1" applyBorder="1" applyAlignment="1">
      <alignment/>
    </xf>
    <xf numFmtId="0" fontId="15" fillId="0" borderId="14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right" vertical="top" wrapText="1"/>
    </xf>
    <xf numFmtId="0" fontId="22" fillId="0" borderId="32" xfId="0" applyFont="1" applyFill="1" applyBorder="1" applyAlignment="1">
      <alignment horizontal="right" vertical="top" wrapText="1"/>
    </xf>
    <xf numFmtId="0" fontId="15" fillId="0" borderId="17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right" vertical="top" wrapText="1"/>
    </xf>
    <xf numFmtId="0" fontId="22" fillId="0" borderId="33" xfId="0" applyFont="1" applyFill="1" applyBorder="1" applyAlignment="1">
      <alignment horizontal="right" vertical="top" wrapText="1"/>
    </xf>
    <xf numFmtId="0" fontId="16" fillId="0" borderId="15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32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3" fontId="16" fillId="0" borderId="16" xfId="0" applyNumberFormat="1" applyFont="1" applyFill="1" applyBorder="1" applyAlignment="1">
      <alignment horizontal="right" vertical="top" wrapText="1"/>
    </xf>
    <xf numFmtId="0" fontId="22" fillId="0" borderId="18" xfId="0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horizontal="right" vertical="center" wrapText="1"/>
    </xf>
    <xf numFmtId="3" fontId="22" fillId="0" borderId="3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3" fontId="15" fillId="0" borderId="33" xfId="0" applyNumberFormat="1" applyFont="1" applyBorder="1" applyAlignment="1">
      <alignment/>
    </xf>
    <xf numFmtId="0" fontId="17" fillId="0" borderId="17" xfId="0" applyFont="1" applyBorder="1" applyAlignment="1">
      <alignment/>
    </xf>
    <xf numFmtId="3" fontId="17" fillId="34" borderId="13" xfId="0" applyNumberFormat="1" applyFont="1" applyFill="1" applyBorder="1" applyAlignment="1">
      <alignment/>
    </xf>
    <xf numFmtId="3" fontId="17" fillId="34" borderId="13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" fontId="17" fillId="34" borderId="13" xfId="0" applyNumberFormat="1" applyFont="1" applyFill="1" applyBorder="1" applyAlignment="1">
      <alignment horizontal="left" vertical="center"/>
    </xf>
    <xf numFmtId="3" fontId="17" fillId="34" borderId="13" xfId="0" applyNumberFormat="1" applyFont="1" applyFill="1" applyBorder="1" applyAlignment="1">
      <alignment horizontal="right" vertical="center"/>
    </xf>
    <xf numFmtId="0" fontId="15" fillId="0" borderId="25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 horizontal="right"/>
    </xf>
    <xf numFmtId="0" fontId="15" fillId="0" borderId="17" xfId="0" applyFont="1" applyBorder="1" applyAlignment="1">
      <alignment/>
    </xf>
    <xf numFmtId="9" fontId="15" fillId="0" borderId="0" xfId="0" applyNumberFormat="1" applyFont="1" applyBorder="1" applyAlignment="1">
      <alignment/>
    </xf>
    <xf numFmtId="3" fontId="17" fillId="34" borderId="13" xfId="0" applyNumberFormat="1" applyFont="1" applyFill="1" applyBorder="1" applyAlignment="1">
      <alignment horizontal="right" wrapText="1"/>
    </xf>
    <xf numFmtId="0" fontId="17" fillId="0" borderId="31" xfId="0" applyFont="1" applyBorder="1" applyAlignment="1">
      <alignment horizontal="right"/>
    </xf>
    <xf numFmtId="3" fontId="17" fillId="0" borderId="33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12" fillId="0" borderId="31" xfId="0" applyFont="1" applyFill="1" applyBorder="1" applyAlignment="1">
      <alignment/>
    </xf>
    <xf numFmtId="0" fontId="17" fillId="0" borderId="0" xfId="0" applyFont="1" applyAlignment="1">
      <alignment/>
    </xf>
    <xf numFmtId="3" fontId="15" fillId="0" borderId="14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3" fontId="15" fillId="0" borderId="12" xfId="0" applyNumberFormat="1" applyFont="1" applyBorder="1" applyAlignment="1">
      <alignment/>
    </xf>
    <xf numFmtId="0" fontId="15" fillId="0" borderId="18" xfId="0" applyFont="1" applyBorder="1" applyAlignment="1">
      <alignment horizontal="left"/>
    </xf>
    <xf numFmtId="3" fontId="17" fillId="0" borderId="12" xfId="0" applyNumberFormat="1" applyFont="1" applyBorder="1" applyAlignment="1">
      <alignment/>
    </xf>
    <xf numFmtId="0" fontId="17" fillId="0" borderId="0" xfId="0" applyFont="1" applyAlignment="1">
      <alignment horizontal="right"/>
    </xf>
    <xf numFmtId="3" fontId="17" fillId="0" borderId="16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">
      <selection activeCell="C35" sqref="C35"/>
    </sheetView>
  </sheetViews>
  <sheetFormatPr defaultColWidth="9" defaultRowHeight="15"/>
  <cols>
    <col min="1" max="1" width="34.5" style="2" customWidth="1"/>
    <col min="2" max="2" width="5.69921875" style="145" bestFit="1" customWidth="1"/>
    <col min="3" max="6" width="10.69921875" style="52" customWidth="1"/>
    <col min="7" max="16384" width="9" style="2" customWidth="1"/>
  </cols>
  <sheetData>
    <row r="1" spans="1:6" s="10" customFormat="1" ht="25.5">
      <c r="A1" s="62" t="s">
        <v>9</v>
      </c>
      <c r="B1" s="128"/>
      <c r="C1" s="15"/>
      <c r="D1" s="15"/>
      <c r="E1" s="15"/>
      <c r="F1" s="15"/>
    </row>
    <row r="2" spans="1:6" s="10" customFormat="1" ht="15.75" customHeight="1">
      <c r="A2" s="19"/>
      <c r="B2" s="128"/>
      <c r="C2" s="15"/>
      <c r="D2" s="15"/>
      <c r="E2" s="15"/>
      <c r="F2" s="15"/>
    </row>
    <row r="3" spans="1:6" ht="19.5" customHeight="1">
      <c r="A3" s="14" t="s">
        <v>147</v>
      </c>
      <c r="B3" s="129"/>
      <c r="C3" s="29"/>
      <c r="D3" s="29"/>
      <c r="E3" s="29"/>
      <c r="F3" s="29"/>
    </row>
    <row r="4" spans="1:6" ht="19.5" customHeight="1">
      <c r="A4" s="14"/>
      <c r="B4" s="129"/>
      <c r="C4" s="29"/>
      <c r="D4" s="29"/>
      <c r="E4" s="29"/>
      <c r="F4" s="29"/>
    </row>
    <row r="5" spans="1:6" ht="15.75" customHeight="1">
      <c r="A5" s="130"/>
      <c r="B5" s="131"/>
      <c r="C5" s="132" t="s">
        <v>10</v>
      </c>
      <c r="D5" s="132" t="s">
        <v>19</v>
      </c>
      <c r="E5" s="132" t="s">
        <v>10</v>
      </c>
      <c r="F5" s="132" t="s">
        <v>10</v>
      </c>
    </row>
    <row r="6" spans="1:6" ht="15.75" customHeight="1">
      <c r="A6" s="133"/>
      <c r="B6" s="134" t="s">
        <v>115</v>
      </c>
      <c r="C6" s="135" t="s">
        <v>228</v>
      </c>
      <c r="D6" s="135" t="s">
        <v>228</v>
      </c>
      <c r="E6" s="135" t="s">
        <v>207</v>
      </c>
      <c r="F6" s="135" t="s">
        <v>201</v>
      </c>
    </row>
    <row r="7" spans="1:6" ht="15.75">
      <c r="A7" s="28"/>
      <c r="B7" s="129"/>
      <c r="C7" s="29"/>
      <c r="D7" s="29"/>
      <c r="E7" s="29"/>
      <c r="F7" s="29"/>
    </row>
    <row r="8" spans="1:6" ht="18.75">
      <c r="A8" s="136" t="s">
        <v>116</v>
      </c>
      <c r="B8" s="129"/>
      <c r="C8" s="29"/>
      <c r="D8" s="29"/>
      <c r="E8" s="29"/>
      <c r="F8" s="29"/>
    </row>
    <row r="9" spans="1:6" ht="15.75">
      <c r="A9" s="28" t="s">
        <v>104</v>
      </c>
      <c r="B9" s="129" t="s">
        <v>188</v>
      </c>
      <c r="C9" s="137">
        <f>+'Res per aktivitet'!F26</f>
        <v>698355</v>
      </c>
      <c r="D9" s="137">
        <f>680000+24500</f>
        <v>704500</v>
      </c>
      <c r="E9" s="137">
        <v>681390</v>
      </c>
      <c r="F9" s="137">
        <v>827013</v>
      </c>
    </row>
    <row r="10" spans="1:6" ht="15.75">
      <c r="A10" s="28" t="s">
        <v>118</v>
      </c>
      <c r="B10" s="129"/>
      <c r="C10" s="137">
        <f>+'Res per aktivitet'!J26</f>
        <v>0</v>
      </c>
      <c r="D10" s="137">
        <v>0</v>
      </c>
      <c r="E10" s="137">
        <v>0</v>
      </c>
      <c r="F10" s="137">
        <v>0</v>
      </c>
    </row>
    <row r="11" spans="1:6" ht="15.75">
      <c r="A11" s="25" t="s">
        <v>119</v>
      </c>
      <c r="B11" s="138"/>
      <c r="C11" s="139">
        <f>SUM(C9:C10)</f>
        <v>698355</v>
      </c>
      <c r="D11" s="139">
        <f>SUM(D9:D10)</f>
        <v>704500</v>
      </c>
      <c r="E11" s="139">
        <v>681390</v>
      </c>
      <c r="F11" s="139">
        <v>827013</v>
      </c>
    </row>
    <row r="12" spans="1:6" ht="15.75">
      <c r="A12" s="32" t="s">
        <v>120</v>
      </c>
      <c r="B12" s="129"/>
      <c r="C12" s="137"/>
      <c r="D12" s="137"/>
      <c r="E12" s="137"/>
      <c r="F12" s="137"/>
    </row>
    <row r="13" spans="1:6" ht="15.75" hidden="1">
      <c r="A13" s="28" t="s">
        <v>42</v>
      </c>
      <c r="B13" s="129"/>
      <c r="C13" s="137">
        <f>+'Res per aktivitet'!H26</f>
        <v>0</v>
      </c>
      <c r="D13" s="137">
        <v>0</v>
      </c>
      <c r="E13" s="137">
        <v>0</v>
      </c>
      <c r="F13" s="137">
        <v>0</v>
      </c>
    </row>
    <row r="14" spans="1:6" ht="15.75" hidden="1">
      <c r="A14" s="28" t="s">
        <v>121</v>
      </c>
      <c r="B14" s="129"/>
      <c r="C14" s="137">
        <f>+'Res per aktivitet'!I26</f>
        <v>0</v>
      </c>
      <c r="D14" s="137">
        <v>0</v>
      </c>
      <c r="E14" s="137">
        <v>0</v>
      </c>
      <c r="F14" s="137">
        <v>0</v>
      </c>
    </row>
    <row r="15" spans="1:6" ht="15.75">
      <c r="A15" s="43" t="s">
        <v>122</v>
      </c>
      <c r="B15" s="129" t="s">
        <v>117</v>
      </c>
      <c r="C15" s="137">
        <f>+'Res per aktivitet'!G26</f>
        <v>8375</v>
      </c>
      <c r="D15" s="137">
        <v>20000</v>
      </c>
      <c r="E15" s="137">
        <v>8657</v>
      </c>
      <c r="F15" s="137">
        <v>18750</v>
      </c>
    </row>
    <row r="16" spans="1:6" ht="15.75">
      <c r="A16" s="116" t="s">
        <v>123</v>
      </c>
      <c r="B16" s="138"/>
      <c r="C16" s="139">
        <f>SUM(C13:C15)</f>
        <v>8375</v>
      </c>
      <c r="D16" s="139">
        <f>SUM(D13:D15)</f>
        <v>20000</v>
      </c>
      <c r="E16" s="139">
        <v>8657</v>
      </c>
      <c r="F16" s="139">
        <v>18750</v>
      </c>
    </row>
    <row r="17" spans="1:6" ht="15.75">
      <c r="A17" s="32" t="s">
        <v>124</v>
      </c>
      <c r="B17" s="129"/>
      <c r="C17" s="137"/>
      <c r="D17" s="137"/>
      <c r="E17" s="137"/>
      <c r="F17" s="137"/>
    </row>
    <row r="18" spans="1:6" ht="15.75">
      <c r="A18" s="28" t="s">
        <v>56</v>
      </c>
      <c r="B18" s="129"/>
      <c r="C18" s="137"/>
      <c r="D18" s="137"/>
      <c r="E18" s="137"/>
      <c r="F18" s="137"/>
    </row>
    <row r="19" spans="1:6" ht="15.75">
      <c r="A19" s="43" t="s">
        <v>126</v>
      </c>
      <c r="B19" s="129"/>
      <c r="C19" s="137"/>
      <c r="D19" s="137"/>
      <c r="E19" s="137"/>
      <c r="F19" s="137"/>
    </row>
    <row r="20" spans="1:6" ht="15.75">
      <c r="A20" s="25" t="s">
        <v>127</v>
      </c>
      <c r="B20" s="138"/>
      <c r="C20" s="139">
        <f>SUM(C18:C19)</f>
        <v>0</v>
      </c>
      <c r="D20" s="139">
        <f>SUM(D18:D19)</f>
        <v>0</v>
      </c>
      <c r="E20" s="139">
        <v>0</v>
      </c>
      <c r="F20" s="139">
        <v>0</v>
      </c>
    </row>
    <row r="21" spans="1:6" ht="15.75">
      <c r="A21" s="32" t="s">
        <v>128</v>
      </c>
      <c r="B21" s="140"/>
      <c r="C21" s="141">
        <f>+'Res per aktivitet'!V26</f>
        <v>46702</v>
      </c>
      <c r="D21" s="141">
        <v>55000</v>
      </c>
      <c r="E21" s="141">
        <v>55170</v>
      </c>
      <c r="F21" s="141">
        <v>52487</v>
      </c>
    </row>
    <row r="22" spans="1:6" s="39" customFormat="1" ht="15.75">
      <c r="A22" s="36" t="s">
        <v>119</v>
      </c>
      <c r="B22" s="142"/>
      <c r="C22" s="143">
        <f>+C11+C16+C20+C21</f>
        <v>753432</v>
      </c>
      <c r="D22" s="143">
        <f>+D11+D16+D20+D21</f>
        <v>779500</v>
      </c>
      <c r="E22" s="143">
        <v>745217</v>
      </c>
      <c r="F22" s="143">
        <v>898250</v>
      </c>
    </row>
    <row r="23" spans="1:6" ht="15.75">
      <c r="A23" s="28"/>
      <c r="B23" s="129"/>
      <c r="C23" s="137"/>
      <c r="D23" s="137"/>
      <c r="E23" s="137"/>
      <c r="F23" s="137"/>
    </row>
    <row r="24" spans="1:6" ht="18.75">
      <c r="A24" s="136" t="s">
        <v>129</v>
      </c>
      <c r="B24" s="129"/>
      <c r="C24" s="137"/>
      <c r="D24" s="137"/>
      <c r="E24" s="137"/>
      <c r="F24" s="137"/>
    </row>
    <row r="25" spans="1:6" ht="15.75" hidden="1">
      <c r="A25" s="32" t="s">
        <v>130</v>
      </c>
      <c r="B25" s="129"/>
      <c r="C25" s="137"/>
      <c r="D25" s="137"/>
      <c r="E25" s="137"/>
      <c r="F25" s="137"/>
    </row>
    <row r="26" spans="1:6" ht="15.75" hidden="1">
      <c r="A26" s="43" t="s">
        <v>131</v>
      </c>
      <c r="B26" s="129"/>
      <c r="C26" s="137"/>
      <c r="D26" s="137"/>
      <c r="E26" s="137"/>
      <c r="F26" s="137"/>
    </row>
    <row r="27" spans="1:6" ht="15.75" hidden="1">
      <c r="A27" s="25" t="s">
        <v>132</v>
      </c>
      <c r="B27" s="138"/>
      <c r="C27" s="139">
        <f>+C26</f>
        <v>0</v>
      </c>
      <c r="D27" s="139">
        <f>+D26</f>
        <v>0</v>
      </c>
      <c r="E27" s="139">
        <v>0</v>
      </c>
      <c r="F27" s="139">
        <v>0</v>
      </c>
    </row>
    <row r="28" spans="1:6" ht="15.75">
      <c r="A28" s="32" t="s">
        <v>133</v>
      </c>
      <c r="B28" s="129"/>
      <c r="C28" s="137"/>
      <c r="D28" s="137"/>
      <c r="E28" s="137"/>
      <c r="F28" s="137"/>
    </row>
    <row r="29" spans="1:6" ht="15.75">
      <c r="A29" s="28" t="s">
        <v>134</v>
      </c>
      <c r="B29" s="129" t="s">
        <v>117</v>
      </c>
      <c r="C29" s="137">
        <f>+'Res per aktivitet'!U15</f>
        <v>32935</v>
      </c>
      <c r="D29" s="137">
        <v>70000</v>
      </c>
      <c r="E29" s="137">
        <v>43696</v>
      </c>
      <c r="F29" s="137">
        <v>51025</v>
      </c>
    </row>
    <row r="30" spans="1:6" ht="15.75" hidden="1">
      <c r="A30" s="28" t="s">
        <v>135</v>
      </c>
      <c r="B30" s="129"/>
      <c r="C30" s="137"/>
      <c r="D30" s="137"/>
      <c r="E30" s="137"/>
      <c r="F30" s="137"/>
    </row>
    <row r="31" spans="1:6" ht="15.75">
      <c r="A31" s="28" t="s">
        <v>112</v>
      </c>
      <c r="B31" s="129" t="s">
        <v>125</v>
      </c>
      <c r="C31" s="137">
        <f>+'Res per aktivitet'!U21+'Res per aktivitet'!U22+'Res per aktivitet'!U23+'Res per aktivitet'!U12</f>
        <v>96754</v>
      </c>
      <c r="D31" s="137">
        <v>90000</v>
      </c>
      <c r="E31" s="137">
        <v>103266</v>
      </c>
      <c r="F31" s="137">
        <v>89600</v>
      </c>
    </row>
    <row r="32" spans="1:6" ht="15.75">
      <c r="A32" s="28" t="s">
        <v>41</v>
      </c>
      <c r="B32" s="129"/>
      <c r="C32" s="137">
        <f>+'Res per aktivitet'!U18+'Res per aktivitet'!U19</f>
        <v>69177</v>
      </c>
      <c r="D32" s="137">
        <f>25000+50000</f>
        <v>75000</v>
      </c>
      <c r="E32" s="137">
        <v>0</v>
      </c>
      <c r="F32" s="137">
        <v>7963</v>
      </c>
    </row>
    <row r="33" spans="1:6" ht="15.75">
      <c r="A33" s="28" t="s">
        <v>109</v>
      </c>
      <c r="B33" s="129"/>
      <c r="C33" s="137">
        <f>+'Res per aktivitet'!U10+'Res per aktivitet'!U16+'Res per aktivitet'!U17+'Res per aktivitet'!U20</f>
        <v>100691</v>
      </c>
      <c r="D33" s="137">
        <f>44500+10000+15000</f>
        <v>69500</v>
      </c>
      <c r="E33" s="137">
        <v>135147</v>
      </c>
      <c r="F33" s="137">
        <v>86621</v>
      </c>
    </row>
    <row r="34" spans="1:6" ht="15.75" hidden="1">
      <c r="A34" s="28" t="s">
        <v>136</v>
      </c>
      <c r="B34" s="129"/>
      <c r="C34" s="137">
        <v>0</v>
      </c>
      <c r="D34" s="137">
        <v>0</v>
      </c>
      <c r="E34" s="137">
        <v>0</v>
      </c>
      <c r="F34" s="137">
        <v>0</v>
      </c>
    </row>
    <row r="35" spans="1:6" ht="15.75">
      <c r="A35" s="116" t="s">
        <v>137</v>
      </c>
      <c r="B35" s="269" t="s">
        <v>138</v>
      </c>
      <c r="C35" s="139">
        <f>SUM(C29:C34)</f>
        <v>299557</v>
      </c>
      <c r="D35" s="139">
        <f>SUM(D29:D34)</f>
        <v>304500</v>
      </c>
      <c r="E35" s="139">
        <v>282109</v>
      </c>
      <c r="F35" s="139">
        <v>235209</v>
      </c>
    </row>
    <row r="36" spans="1:6" ht="15.75">
      <c r="A36" s="32" t="s">
        <v>139</v>
      </c>
      <c r="B36" s="129" t="s">
        <v>226</v>
      </c>
      <c r="C36" s="141">
        <f>+'Res per aktivitet'!U9+'Res per aktivitet'!U13+'Res per aktivitet'!U14+'Res per aktivitet'!U11</f>
        <v>475466</v>
      </c>
      <c r="D36" s="141">
        <f>400000+75000</f>
        <v>475000</v>
      </c>
      <c r="E36" s="141">
        <v>475127</v>
      </c>
      <c r="F36" s="141">
        <v>465012</v>
      </c>
    </row>
    <row r="37" spans="1:6" s="39" customFormat="1" ht="15.75">
      <c r="A37" s="36" t="s">
        <v>140</v>
      </c>
      <c r="B37" s="148" t="s">
        <v>138</v>
      </c>
      <c r="C37" s="143">
        <f>+C27+C35+C36</f>
        <v>775023</v>
      </c>
      <c r="D37" s="143">
        <f>+D27+D35+D36</f>
        <v>779500</v>
      </c>
      <c r="E37" s="143">
        <v>757236</v>
      </c>
      <c r="F37" s="143">
        <v>700221</v>
      </c>
    </row>
    <row r="38" spans="1:6" ht="15.75">
      <c r="A38" s="28"/>
      <c r="B38" s="129"/>
      <c r="C38" s="137"/>
      <c r="D38" s="137"/>
      <c r="E38" s="137"/>
      <c r="F38" s="137"/>
    </row>
    <row r="39" spans="1:6" s="39" customFormat="1" ht="15.75">
      <c r="A39" s="133" t="s">
        <v>141</v>
      </c>
      <c r="B39" s="134"/>
      <c r="C39" s="144">
        <f>C22-C37+2</f>
        <v>-21589</v>
      </c>
      <c r="D39" s="144">
        <f>D22-D37</f>
        <v>0</v>
      </c>
      <c r="E39" s="144">
        <v>-12017</v>
      </c>
      <c r="F39" s="144">
        <v>198030</v>
      </c>
    </row>
    <row r="40" spans="1:6" ht="15.75">
      <c r="A40" s="28"/>
      <c r="B40" s="129"/>
      <c r="C40" s="137"/>
      <c r="D40" s="137"/>
      <c r="E40" s="137"/>
      <c r="F40" s="137"/>
    </row>
    <row r="41" spans="1:6" ht="15.75">
      <c r="A41" s="39" t="s">
        <v>142</v>
      </c>
      <c r="C41" s="146"/>
      <c r="D41" s="146"/>
      <c r="E41" s="146"/>
      <c r="F41" s="146"/>
    </row>
    <row r="42" spans="1:6" ht="15.75" hidden="1">
      <c r="A42" s="2" t="s">
        <v>143</v>
      </c>
      <c r="C42" s="147">
        <v>0</v>
      </c>
      <c r="D42" s="147">
        <v>0</v>
      </c>
      <c r="E42" s="147">
        <v>0</v>
      </c>
      <c r="F42" s="147">
        <v>0</v>
      </c>
    </row>
    <row r="43" spans="1:6" ht="15.75" hidden="1">
      <c r="A43" s="2" t="s">
        <v>144</v>
      </c>
      <c r="C43" s="147">
        <v>0</v>
      </c>
      <c r="D43" s="147">
        <v>0</v>
      </c>
      <c r="E43" s="147">
        <v>0</v>
      </c>
      <c r="F43" s="147">
        <v>0</v>
      </c>
    </row>
    <row r="44" spans="1:6" ht="15.75" hidden="1">
      <c r="A44" s="2" t="s">
        <v>145</v>
      </c>
      <c r="C44" s="147">
        <v>0</v>
      </c>
      <c r="D44" s="147">
        <v>0</v>
      </c>
      <c r="E44" s="147">
        <v>0</v>
      </c>
      <c r="F44" s="147">
        <v>0</v>
      </c>
    </row>
    <row r="45" spans="1:6" ht="15.75">
      <c r="A45" s="2" t="s">
        <v>227</v>
      </c>
      <c r="C45" s="147">
        <f>+C39</f>
        <v>-21589</v>
      </c>
      <c r="D45" s="147">
        <v>0</v>
      </c>
      <c r="E45" s="147">
        <v>-12017</v>
      </c>
      <c r="F45" s="147">
        <v>198030</v>
      </c>
    </row>
    <row r="46" spans="1:6" ht="15.75">
      <c r="A46" s="36" t="s">
        <v>146</v>
      </c>
      <c r="B46" s="148" t="s">
        <v>212</v>
      </c>
      <c r="C46" s="149">
        <f>SUM(C42:C45)</f>
        <v>-21589</v>
      </c>
      <c r="D46" s="149">
        <f>SUM(D42:D45)</f>
        <v>0</v>
      </c>
      <c r="E46" s="149">
        <v>-12017</v>
      </c>
      <c r="F46" s="149">
        <v>198030</v>
      </c>
    </row>
    <row r="47" spans="1:6" ht="15.75">
      <c r="A47" s="32"/>
      <c r="B47" s="129"/>
      <c r="C47" s="150"/>
      <c r="D47" s="150"/>
      <c r="E47" s="150"/>
      <c r="F47" s="150"/>
    </row>
    <row r="49" spans="3:6" ht="15.75">
      <c r="C49" s="146"/>
      <c r="E49" s="146"/>
      <c r="F49" s="146"/>
    </row>
  </sheetData>
  <sheetProtection/>
  <printOptions/>
  <pageMargins left="0.5511811023622047" right="0.3937007874015748" top="0.9055118110236221" bottom="0.5118110236220472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6"/>
  <sheetViews>
    <sheetView tabSelected="1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8" sqref="H18"/>
    </sheetView>
  </sheetViews>
  <sheetFormatPr defaultColWidth="9" defaultRowHeight="15"/>
  <cols>
    <col min="1" max="1" width="28.69921875" style="2" customWidth="1"/>
    <col min="2" max="2" width="5" style="119" bestFit="1" customWidth="1"/>
    <col min="3" max="3" width="12" style="119" bestFit="1" customWidth="1"/>
    <col min="4" max="4" width="12.69921875" style="119" customWidth="1"/>
    <col min="5" max="5" width="13" style="119" customWidth="1"/>
    <col min="6" max="16384" width="9" style="2" customWidth="1"/>
  </cols>
  <sheetData>
    <row r="1" spans="1:5" ht="25.5">
      <c r="A1" s="6" t="s">
        <v>20</v>
      </c>
      <c r="B1" s="106"/>
      <c r="C1" s="106"/>
      <c r="D1" s="106"/>
      <c r="E1" s="106"/>
    </row>
    <row r="2" spans="1:5" ht="17.25" customHeight="1">
      <c r="A2" s="10"/>
      <c r="B2" s="106"/>
      <c r="C2" s="106"/>
      <c r="D2" s="106"/>
      <c r="E2" s="106"/>
    </row>
    <row r="3" spans="1:5" ht="24.75" customHeight="1">
      <c r="A3" s="14" t="s">
        <v>40</v>
      </c>
      <c r="B3" s="107"/>
      <c r="C3" s="107"/>
      <c r="D3" s="107"/>
      <c r="E3" s="107"/>
    </row>
    <row r="4" spans="1:5" ht="15.75" customHeight="1">
      <c r="A4" s="19"/>
      <c r="B4" s="107"/>
      <c r="C4" s="107"/>
      <c r="D4" s="107"/>
      <c r="E4" s="107"/>
    </row>
    <row r="5" spans="1:5" ht="20.25">
      <c r="A5" s="108"/>
      <c r="B5" s="109"/>
      <c r="C5" s="110" t="s">
        <v>57</v>
      </c>
      <c r="D5" s="110" t="s">
        <v>57</v>
      </c>
      <c r="E5" s="110" t="s">
        <v>57</v>
      </c>
    </row>
    <row r="6" spans="1:5" s="39" customFormat="1" ht="15.75">
      <c r="A6" s="25"/>
      <c r="B6" s="111" t="s">
        <v>23</v>
      </c>
      <c r="C6" s="112" t="s">
        <v>228</v>
      </c>
      <c r="D6" s="112" t="s">
        <v>207</v>
      </c>
      <c r="E6" s="112" t="s">
        <v>201</v>
      </c>
    </row>
    <row r="7" spans="1:5" s="39" customFormat="1" ht="15.75" customHeight="1">
      <c r="A7" s="32"/>
      <c r="B7" s="113"/>
      <c r="C7" s="113"/>
      <c r="D7" s="113"/>
      <c r="E7" s="113"/>
    </row>
    <row r="8" spans="1:5" s="39" customFormat="1" ht="15.75" customHeight="1">
      <c r="A8" s="32" t="s">
        <v>192</v>
      </c>
      <c r="B8" s="113"/>
      <c r="C8" s="113"/>
      <c r="D8" s="113"/>
      <c r="E8" s="113"/>
    </row>
    <row r="9" spans="1:5" ht="15.75">
      <c r="A9" s="32" t="s">
        <v>58</v>
      </c>
      <c r="B9" s="114"/>
      <c r="C9" s="114"/>
      <c r="D9" s="5"/>
      <c r="E9" s="5"/>
    </row>
    <row r="10" spans="1:5" ht="15.75">
      <c r="A10" s="28" t="s">
        <v>59</v>
      </c>
      <c r="B10" s="114"/>
      <c r="C10" s="40">
        <v>0</v>
      </c>
      <c r="D10" s="40">
        <v>600</v>
      </c>
      <c r="E10" s="40">
        <v>3450</v>
      </c>
    </row>
    <row r="11" spans="1:5" ht="15.75">
      <c r="A11" s="28" t="s">
        <v>60</v>
      </c>
      <c r="B11" s="114"/>
      <c r="C11" s="40">
        <v>0</v>
      </c>
      <c r="D11" s="40">
        <v>28788</v>
      </c>
      <c r="E11" s="40">
        <v>0</v>
      </c>
    </row>
    <row r="12" spans="1:5" s="39" customFormat="1" ht="15.75">
      <c r="A12" s="28" t="s">
        <v>61</v>
      </c>
      <c r="B12" s="113" t="s">
        <v>1</v>
      </c>
      <c r="C12" s="40">
        <v>1844321.52</v>
      </c>
      <c r="D12" s="40">
        <v>1780033.21</v>
      </c>
      <c r="E12" s="40">
        <v>1785940.3</v>
      </c>
    </row>
    <row r="13" spans="1:8" s="39" customFormat="1" ht="15.75">
      <c r="A13" s="36" t="s">
        <v>62</v>
      </c>
      <c r="B13" s="115"/>
      <c r="C13" s="177">
        <f>+C12+C11+C10</f>
        <v>1844321.52</v>
      </c>
      <c r="D13" s="177">
        <v>1809421.21</v>
      </c>
      <c r="E13" s="177">
        <v>1789390.3</v>
      </c>
      <c r="H13" s="103"/>
    </row>
    <row r="14" spans="1:5" ht="15.75" customHeight="1">
      <c r="A14" s="28"/>
      <c r="B14" s="114"/>
      <c r="C14" s="126"/>
      <c r="D14" s="40"/>
      <c r="E14" s="40"/>
    </row>
    <row r="15" spans="1:5" s="39" customFormat="1" ht="15.75">
      <c r="A15" s="116" t="s">
        <v>63</v>
      </c>
      <c r="B15" s="117"/>
      <c r="C15" s="178">
        <f>+C13</f>
        <v>1844321.52</v>
      </c>
      <c r="D15" s="178">
        <v>1809421.21</v>
      </c>
      <c r="E15" s="178">
        <v>1789390.3</v>
      </c>
    </row>
    <row r="16" spans="1:5" ht="15.75">
      <c r="A16" s="28"/>
      <c r="B16" s="114"/>
      <c r="C16" s="126"/>
      <c r="D16" s="40"/>
      <c r="E16" s="40"/>
    </row>
    <row r="17" spans="1:5" ht="15.75">
      <c r="A17" s="32" t="s">
        <v>193</v>
      </c>
      <c r="B17" s="114"/>
      <c r="C17" s="126"/>
      <c r="D17" s="40"/>
      <c r="E17" s="40"/>
    </row>
    <row r="18" spans="1:5" s="39" customFormat="1" ht="15.75">
      <c r="A18" s="32" t="s">
        <v>189</v>
      </c>
      <c r="B18" s="113"/>
      <c r="C18" s="179"/>
      <c r="D18" s="180"/>
      <c r="E18" s="180"/>
    </row>
    <row r="19" spans="1:5" ht="15.75">
      <c r="A19" s="28" t="s">
        <v>189</v>
      </c>
      <c r="B19" s="114">
        <v>7</v>
      </c>
      <c r="C19" s="40">
        <f>+D19+Aktivitetsresultat!C45</f>
        <v>1736164.37</v>
      </c>
      <c r="D19" s="40">
        <v>1757753.37</v>
      </c>
      <c r="E19" s="40">
        <v>1769770.37</v>
      </c>
    </row>
    <row r="20" spans="1:5" ht="15.75" hidden="1">
      <c r="A20" s="28" t="s">
        <v>38</v>
      </c>
      <c r="B20" s="114"/>
      <c r="C20" s="1"/>
      <c r="D20" s="40"/>
      <c r="E20" s="40"/>
    </row>
    <row r="21" spans="1:5" s="39" customFormat="1" ht="15.75">
      <c r="A21" s="36" t="s">
        <v>190</v>
      </c>
      <c r="B21" s="118"/>
      <c r="C21" s="181">
        <f>SUM(C19:C20)</f>
        <v>1736164.37</v>
      </c>
      <c r="D21" s="181">
        <v>1757753.37</v>
      </c>
      <c r="E21" s="181">
        <v>1769770.37</v>
      </c>
    </row>
    <row r="22" spans="1:5" ht="15.75">
      <c r="A22" s="28"/>
      <c r="B22" s="114"/>
      <c r="C22" s="126"/>
      <c r="D22" s="40"/>
      <c r="E22" s="40"/>
    </row>
    <row r="23" spans="1:5" s="39" customFormat="1" ht="15.75">
      <c r="A23" s="32" t="s">
        <v>22</v>
      </c>
      <c r="B23" s="113"/>
      <c r="C23" s="179"/>
      <c r="D23" s="180"/>
      <c r="E23" s="180"/>
    </row>
    <row r="24" spans="1:5" s="39" customFormat="1" ht="15.75">
      <c r="A24" s="28" t="s">
        <v>64</v>
      </c>
      <c r="B24" s="113"/>
      <c r="C24" s="40">
        <f>31917+5000</f>
        <v>36917</v>
      </c>
      <c r="D24" s="40">
        <v>14000</v>
      </c>
      <c r="E24" s="40">
        <v>395</v>
      </c>
    </row>
    <row r="25" spans="1:5" ht="15.75">
      <c r="A25" s="30" t="s">
        <v>65</v>
      </c>
      <c r="B25" s="114"/>
      <c r="C25" s="40">
        <v>25600.49</v>
      </c>
      <c r="D25" s="40">
        <v>37667.94</v>
      </c>
      <c r="E25" s="40">
        <v>19225.13</v>
      </c>
    </row>
    <row r="26" spans="1:5" ht="15.75" hidden="1">
      <c r="A26" s="97" t="s">
        <v>66</v>
      </c>
      <c r="B26" s="114"/>
      <c r="C26" s="40">
        <v>0</v>
      </c>
      <c r="D26" s="40">
        <v>0</v>
      </c>
      <c r="E26" s="40">
        <v>0</v>
      </c>
    </row>
    <row r="27" spans="1:5" ht="15.75">
      <c r="A27" s="97" t="s">
        <v>67</v>
      </c>
      <c r="B27" s="114"/>
      <c r="C27" s="40">
        <v>45640</v>
      </c>
      <c r="D27" s="40">
        <v>0</v>
      </c>
      <c r="E27" s="40">
        <v>0</v>
      </c>
    </row>
    <row r="28" spans="1:5" ht="15.75">
      <c r="A28" s="36" t="s">
        <v>68</v>
      </c>
      <c r="B28" s="118" t="s">
        <v>1</v>
      </c>
      <c r="C28" s="182">
        <f>SUM(C24:C27)</f>
        <v>108157.49</v>
      </c>
      <c r="D28" s="182">
        <v>51667.94</v>
      </c>
      <c r="E28" s="182">
        <v>19620.13</v>
      </c>
    </row>
    <row r="29" spans="1:5" ht="15.75">
      <c r="A29" s="28"/>
      <c r="B29" s="114"/>
      <c r="C29" s="126"/>
      <c r="D29" s="40"/>
      <c r="E29" s="40"/>
    </row>
    <row r="30" spans="1:5" s="39" customFormat="1" ht="15.75">
      <c r="A30" s="25" t="s">
        <v>191</v>
      </c>
      <c r="B30" s="111"/>
      <c r="C30" s="183">
        <f>+C21+C28</f>
        <v>1844321.86</v>
      </c>
      <c r="D30" s="183">
        <v>1809421.31</v>
      </c>
      <c r="E30" s="183">
        <v>1789389.5</v>
      </c>
    </row>
    <row r="32" ht="15.75" hidden="1">
      <c r="A32" s="63" t="s">
        <v>99</v>
      </c>
    </row>
    <row r="33" ht="15.75" hidden="1"/>
    <row r="34" spans="1:5" ht="15.75" hidden="1">
      <c r="A34" s="120" t="s">
        <v>37</v>
      </c>
      <c r="B34" s="2"/>
      <c r="C34" s="2"/>
      <c r="D34" s="121" t="s">
        <v>101</v>
      </c>
      <c r="E34" s="121"/>
    </row>
    <row r="35" spans="1:5" ht="15.75" hidden="1">
      <c r="A35" s="120" t="s">
        <v>24</v>
      </c>
      <c r="B35" s="2"/>
      <c r="C35" s="2"/>
      <c r="D35" s="121" t="s">
        <v>25</v>
      </c>
      <c r="E35" s="121"/>
    </row>
    <row r="36" spans="1:5" ht="15.75" hidden="1">
      <c r="A36" s="120"/>
      <c r="B36" s="122"/>
      <c r="C36" s="122"/>
      <c r="D36" s="122"/>
      <c r="E36" s="122"/>
    </row>
    <row r="37" spans="1:5" ht="15.75" hidden="1">
      <c r="A37" s="120"/>
      <c r="B37" s="122"/>
      <c r="C37" s="122"/>
      <c r="D37" s="122"/>
      <c r="E37" s="122"/>
    </row>
    <row r="38" spans="1:5" ht="15.75" hidden="1">
      <c r="A38" s="120" t="s">
        <v>102</v>
      </c>
      <c r="B38" s="2"/>
      <c r="C38" s="2"/>
      <c r="D38" s="121"/>
      <c r="E38" s="121"/>
    </row>
    <row r="39" spans="1:5" ht="15.75" hidden="1">
      <c r="A39" s="120"/>
      <c r="B39" s="122"/>
      <c r="C39" s="122"/>
      <c r="D39" s="122"/>
      <c r="E39" s="122"/>
    </row>
    <row r="40" spans="1:5" ht="15.75" hidden="1">
      <c r="A40" s="120"/>
      <c r="B40" s="122"/>
      <c r="C40" s="122"/>
      <c r="D40" s="122"/>
      <c r="E40" s="122"/>
    </row>
    <row r="41" spans="1:5" ht="15.75" hidden="1">
      <c r="A41" s="120" t="s">
        <v>33</v>
      </c>
      <c r="B41" s="2"/>
      <c r="C41" s="2"/>
      <c r="D41" s="121" t="s">
        <v>32</v>
      </c>
      <c r="E41" s="122"/>
    </row>
    <row r="42" ht="15.75" hidden="1"/>
    <row r="43" ht="15.75">
      <c r="A43" s="2" t="s">
        <v>238</v>
      </c>
    </row>
    <row r="46" ht="15.75">
      <c r="E46" s="2"/>
    </row>
    <row r="47" spans="1:5" ht="15.75">
      <c r="A47" s="2" t="s">
        <v>202</v>
      </c>
      <c r="B47" s="280" t="s">
        <v>196</v>
      </c>
      <c r="C47" s="2"/>
      <c r="D47" s="2"/>
      <c r="E47" s="2" t="s">
        <v>203</v>
      </c>
    </row>
    <row r="48" spans="1:5" ht="15.75">
      <c r="A48" s="2" t="s">
        <v>24</v>
      </c>
      <c r="B48" s="280"/>
      <c r="C48" s="2"/>
      <c r="D48" s="2"/>
      <c r="E48" s="280"/>
    </row>
    <row r="49" ht="15.75">
      <c r="B49" s="2"/>
    </row>
    <row r="51" spans="2:5" ht="15.75">
      <c r="B51" s="2"/>
      <c r="C51" s="2"/>
      <c r="D51" s="280"/>
      <c r="E51" s="280"/>
    </row>
    <row r="52" spans="1:5" ht="15.75">
      <c r="A52" s="2" t="s">
        <v>204</v>
      </c>
      <c r="B52" s="280" t="s">
        <v>195</v>
      </c>
      <c r="E52" s="119" t="s">
        <v>233</v>
      </c>
    </row>
    <row r="56" ht="15.75">
      <c r="A56" s="2" t="s">
        <v>234</v>
      </c>
    </row>
  </sheetData>
  <sheetProtection/>
  <printOptions/>
  <pageMargins left="0.9448818897637796" right="0.5905511811023623" top="0.31496062992125984" bottom="0.5118110236220472" header="0.5118110236220472" footer="0.2362204724409449"/>
  <pageSetup fitToHeight="1" fitToWidth="1" horizontalDpi="300" verticalDpi="300" orientation="portrait" paperSize="9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8" sqref="F18"/>
    </sheetView>
  </sheetViews>
  <sheetFormatPr defaultColWidth="9" defaultRowHeight="15"/>
  <cols>
    <col min="1" max="1" width="5.69921875" style="80" customWidth="1"/>
    <col min="2" max="2" width="16.5" style="2" bestFit="1" customWidth="1"/>
    <col min="3" max="3" width="4.8984375" style="2" bestFit="1" customWidth="1"/>
    <col min="4" max="4" width="21.8984375" style="2" bestFit="1" customWidth="1"/>
    <col min="5" max="5" width="11.3984375" style="2" customWidth="1"/>
    <col min="6" max="6" width="11.19921875" style="4" customWidth="1"/>
    <col min="7" max="7" width="12.3984375" style="103" customWidth="1"/>
    <col min="8" max="8" width="12.5" style="105" customWidth="1"/>
    <col min="9" max="9" width="13" style="104" bestFit="1" customWidth="1"/>
    <col min="10" max="10" width="9" style="0" customWidth="1"/>
    <col min="11" max="16384" width="9" style="2" customWidth="1"/>
  </cols>
  <sheetData>
    <row r="1" spans="1:9" s="10" customFormat="1" ht="25.5">
      <c r="A1" s="62" t="s">
        <v>9</v>
      </c>
      <c r="F1" s="7"/>
      <c r="G1" s="81"/>
      <c r="H1" s="59"/>
      <c r="I1" s="2"/>
    </row>
    <row r="2" spans="1:9" s="10" customFormat="1" ht="20.25">
      <c r="A2" s="66" t="s">
        <v>1</v>
      </c>
      <c r="F2" s="82" t="s">
        <v>1</v>
      </c>
      <c r="G2" s="83"/>
      <c r="H2" s="85"/>
      <c r="I2" s="84"/>
    </row>
    <row r="3" spans="1:9" s="10" customFormat="1" ht="20.25">
      <c r="A3" s="67" t="s">
        <v>229</v>
      </c>
      <c r="F3" s="82"/>
      <c r="G3" s="86"/>
      <c r="H3" s="87"/>
      <c r="I3" s="82"/>
    </row>
    <row r="4" spans="1:9" s="10" customFormat="1" ht="20.25">
      <c r="A4" s="67"/>
      <c r="F4" s="82"/>
      <c r="G4" s="86"/>
      <c r="H4" s="87"/>
      <c r="I4" s="82"/>
    </row>
    <row r="5" spans="1:9" ht="21" customHeight="1">
      <c r="A5" s="88"/>
      <c r="B5" s="89"/>
      <c r="C5" s="89"/>
      <c r="D5" s="89"/>
      <c r="E5" s="89"/>
      <c r="F5" s="21"/>
      <c r="G5" s="90" t="s">
        <v>0</v>
      </c>
      <c r="H5" s="92" t="s">
        <v>19</v>
      </c>
      <c r="I5" s="91" t="s">
        <v>0</v>
      </c>
    </row>
    <row r="6" spans="1:9" ht="21" customHeight="1">
      <c r="A6" s="93"/>
      <c r="B6" s="25"/>
      <c r="C6" s="25"/>
      <c r="D6" s="25"/>
      <c r="E6" s="94" t="s">
        <v>2</v>
      </c>
      <c r="F6" s="94" t="s">
        <v>3</v>
      </c>
      <c r="G6" s="95" t="s">
        <v>4</v>
      </c>
      <c r="H6" s="96">
        <v>2013</v>
      </c>
      <c r="I6" s="94" t="s">
        <v>230</v>
      </c>
    </row>
    <row r="7" spans="1:9" ht="14.25" customHeight="1" hidden="1">
      <c r="A7" s="97"/>
      <c r="B7" s="28"/>
      <c r="C7" s="28"/>
      <c r="D7" s="28"/>
      <c r="E7" s="60"/>
      <c r="F7" s="60"/>
      <c r="G7" s="61"/>
      <c r="H7" s="58"/>
      <c r="I7" s="60"/>
    </row>
    <row r="8" spans="1:9" ht="24" customHeight="1">
      <c r="A8" s="73">
        <v>10</v>
      </c>
      <c r="B8" s="97" t="s">
        <v>108</v>
      </c>
      <c r="C8" s="97">
        <v>1000</v>
      </c>
      <c r="D8" s="28" t="s">
        <v>5</v>
      </c>
      <c r="E8" s="60">
        <f>+'Res per aktivitet'!K9+'Res per aktivitet'!V9</f>
        <v>46702</v>
      </c>
      <c r="F8" s="60">
        <f>+'Res per aktivitet'!U9+'Res per aktivitet'!W9</f>
        <v>398448</v>
      </c>
      <c r="G8" s="60">
        <f>E8-F8</f>
        <v>-351746</v>
      </c>
      <c r="H8" s="184">
        <f>-400000+55000</f>
        <v>-345000</v>
      </c>
      <c r="I8" s="60">
        <v>-342939</v>
      </c>
    </row>
    <row r="9" spans="1:9" ht="24" customHeight="1">
      <c r="A9" s="73">
        <v>60</v>
      </c>
      <c r="B9" s="97" t="s">
        <v>109</v>
      </c>
      <c r="C9" s="97">
        <v>1100</v>
      </c>
      <c r="D9" s="28" t="s">
        <v>110</v>
      </c>
      <c r="E9" s="60">
        <f>+'Res per aktivitet'!K10+'Res per aktivitet'!V10</f>
        <v>0</v>
      </c>
      <c r="F9" s="60">
        <f>+'Res per aktivitet'!U10+'Res per aktivitet'!W10</f>
        <v>72166</v>
      </c>
      <c r="G9" s="60">
        <f aca="true" t="shared" si="0" ref="G9:G22">E9-F9</f>
        <v>-72166</v>
      </c>
      <c r="H9" s="184">
        <v>-44500</v>
      </c>
      <c r="I9" s="60">
        <v>-95212</v>
      </c>
    </row>
    <row r="10" spans="1:9" ht="24" customHeight="1">
      <c r="A10" s="73">
        <v>10</v>
      </c>
      <c r="B10" s="97" t="s">
        <v>108</v>
      </c>
      <c r="C10" s="97">
        <v>1150</v>
      </c>
      <c r="D10" s="28" t="s">
        <v>111</v>
      </c>
      <c r="E10" s="60">
        <f>+'Res per aktivitet'!K11+'Res per aktivitet'!V11</f>
        <v>0</v>
      </c>
      <c r="F10" s="60">
        <f>+'Res per aktivitet'!U11+'Res per aktivitet'!W11</f>
        <v>77018</v>
      </c>
      <c r="G10" s="60">
        <f t="shared" si="0"/>
        <v>-77018</v>
      </c>
      <c r="H10" s="184">
        <v>-75000</v>
      </c>
      <c r="I10" s="60">
        <v>-77018</v>
      </c>
    </row>
    <row r="11" spans="1:11" ht="24" customHeight="1" hidden="1">
      <c r="A11" s="73">
        <v>30</v>
      </c>
      <c r="B11" s="97" t="s">
        <v>112</v>
      </c>
      <c r="C11" s="97">
        <v>1200</v>
      </c>
      <c r="D11" s="43" t="s">
        <v>27</v>
      </c>
      <c r="E11" s="60">
        <f>+'Res per aktivitet'!K12+'Res per aktivitet'!V12</f>
        <v>0</v>
      </c>
      <c r="F11" s="60">
        <f>+'Res per aktivitet'!U12+'Res per aktivitet'!W12</f>
        <v>0</v>
      </c>
      <c r="G11" s="60">
        <f t="shared" si="0"/>
        <v>0</v>
      </c>
      <c r="H11" s="184">
        <v>0</v>
      </c>
      <c r="I11" s="60">
        <v>0</v>
      </c>
      <c r="K11" s="2" t="s">
        <v>1</v>
      </c>
    </row>
    <row r="12" spans="1:9" ht="24" customHeight="1">
      <c r="A12" s="73">
        <v>10</v>
      </c>
      <c r="B12" s="97" t="s">
        <v>108</v>
      </c>
      <c r="C12" s="97">
        <v>1501</v>
      </c>
      <c r="D12" s="43" t="s">
        <v>36</v>
      </c>
      <c r="E12" s="60">
        <f>+'Res per aktivitet'!K13+'Res per aktivitet'!V13</f>
        <v>680355</v>
      </c>
      <c r="F12" s="60">
        <f>+'Res per aktivitet'!U13+'Res per aktivitet'!W13</f>
        <v>0</v>
      </c>
      <c r="G12" s="60">
        <f t="shared" si="0"/>
        <v>680355</v>
      </c>
      <c r="H12" s="184">
        <v>680000</v>
      </c>
      <c r="I12" s="60">
        <v>666990</v>
      </c>
    </row>
    <row r="13" spans="1:9" ht="24" customHeight="1">
      <c r="A13" s="73">
        <v>10</v>
      </c>
      <c r="B13" s="97" t="s">
        <v>108</v>
      </c>
      <c r="C13" s="97">
        <v>1550</v>
      </c>
      <c r="D13" s="28" t="s">
        <v>28</v>
      </c>
      <c r="E13" s="60">
        <f>+'Res per aktivitet'!K14+'Res per aktivitet'!V14</f>
        <v>18000</v>
      </c>
      <c r="F13" s="60">
        <f>+'Res per aktivitet'!U14+'Res per aktivitet'!W14</f>
        <v>0</v>
      </c>
      <c r="G13" s="60">
        <f t="shared" si="0"/>
        <v>18000</v>
      </c>
      <c r="H13" s="184">
        <v>24500</v>
      </c>
      <c r="I13" s="60">
        <v>14400</v>
      </c>
    </row>
    <row r="14" spans="1:9" ht="24" customHeight="1">
      <c r="A14" s="73">
        <v>20</v>
      </c>
      <c r="B14" s="97" t="s">
        <v>113</v>
      </c>
      <c r="C14" s="97">
        <v>2000</v>
      </c>
      <c r="D14" s="43" t="s">
        <v>29</v>
      </c>
      <c r="E14" s="60">
        <f>+'Res per aktivitet'!K15+'Res per aktivitet'!V15</f>
        <v>8375</v>
      </c>
      <c r="F14" s="60">
        <f>+'Res per aktivitet'!U15+'Res per aktivitet'!W15</f>
        <v>32935</v>
      </c>
      <c r="G14" s="60">
        <f t="shared" si="0"/>
        <v>-24560</v>
      </c>
      <c r="H14" s="184">
        <v>-50000</v>
      </c>
      <c r="I14" s="60">
        <v>-35039</v>
      </c>
    </row>
    <row r="15" spans="1:9" ht="24" customHeight="1">
      <c r="A15" s="73">
        <v>60</v>
      </c>
      <c r="B15" s="97" t="s">
        <v>109</v>
      </c>
      <c r="C15" s="97">
        <v>3000</v>
      </c>
      <c r="D15" s="28" t="s">
        <v>31</v>
      </c>
      <c r="E15" s="60">
        <f>+'Res per aktivitet'!K16+'Res per aktivitet'!V16</f>
        <v>0</v>
      </c>
      <c r="F15" s="60">
        <f>+'Res per aktivitet'!U16+'Res per aktivitet'!W16</f>
        <v>0</v>
      </c>
      <c r="G15" s="60">
        <f t="shared" si="0"/>
        <v>0</v>
      </c>
      <c r="H15" s="184">
        <v>-10000</v>
      </c>
      <c r="I15" s="60">
        <v>-11410</v>
      </c>
    </row>
    <row r="16" spans="1:11" ht="24" customHeight="1" hidden="1">
      <c r="A16" s="73">
        <v>60</v>
      </c>
      <c r="B16" s="97" t="s">
        <v>109</v>
      </c>
      <c r="C16" s="97">
        <v>3020</v>
      </c>
      <c r="D16" s="28" t="s">
        <v>7</v>
      </c>
      <c r="E16" s="60">
        <f>+'Res per aktivitet'!K17+'Res per aktivitet'!V17</f>
        <v>0</v>
      </c>
      <c r="F16" s="60">
        <f>+'Res per aktivitet'!U17+'Res per aktivitet'!W17</f>
        <v>0</v>
      </c>
      <c r="G16" s="60">
        <f t="shared" si="0"/>
        <v>0</v>
      </c>
      <c r="H16" s="184">
        <v>0</v>
      </c>
      <c r="I16" s="60">
        <v>0</v>
      </c>
      <c r="K16" s="2" t="s">
        <v>1</v>
      </c>
    </row>
    <row r="17" spans="1:9" ht="24" customHeight="1">
      <c r="A17" s="73">
        <v>40</v>
      </c>
      <c r="B17" s="97" t="s">
        <v>41</v>
      </c>
      <c r="C17" s="97">
        <v>3040</v>
      </c>
      <c r="D17" s="43" t="s">
        <v>41</v>
      </c>
      <c r="E17" s="60">
        <f>+'Res per aktivitet'!K18+'Res per aktivitet'!V18</f>
        <v>0</v>
      </c>
      <c r="F17" s="60">
        <f>+'Res per aktivitet'!U18+'Res per aktivitet'!W18</f>
        <v>19177</v>
      </c>
      <c r="G17" s="60">
        <f t="shared" si="0"/>
        <v>-19177</v>
      </c>
      <c r="H17" s="184">
        <v>-25000</v>
      </c>
      <c r="I17" s="60">
        <v>0</v>
      </c>
    </row>
    <row r="18" spans="1:9" ht="24" customHeight="1">
      <c r="A18" s="73">
        <v>40</v>
      </c>
      <c r="B18" s="97" t="s">
        <v>41</v>
      </c>
      <c r="C18" s="97">
        <v>3041</v>
      </c>
      <c r="D18" s="43" t="s">
        <v>208</v>
      </c>
      <c r="E18" s="60">
        <f>+'Res per aktivitet'!K19+'Res per aktivitet'!V19</f>
        <v>0</v>
      </c>
      <c r="F18" s="60">
        <f>+'Res per aktivitet'!U19+'Res per aktivitet'!W19</f>
        <v>50000</v>
      </c>
      <c r="G18" s="60">
        <f>E18-F18</f>
        <v>-50000</v>
      </c>
      <c r="H18" s="184">
        <v>-50000</v>
      </c>
      <c r="I18" s="60">
        <v>0</v>
      </c>
    </row>
    <row r="19" spans="1:9" ht="24" customHeight="1">
      <c r="A19" s="73">
        <v>60</v>
      </c>
      <c r="B19" s="97" t="s">
        <v>109</v>
      </c>
      <c r="C19" s="97">
        <v>3050</v>
      </c>
      <c r="D19" s="28" t="s">
        <v>6</v>
      </c>
      <c r="E19" s="60">
        <f>+'Res per aktivitet'!K20+'Res per aktivitet'!V20</f>
        <v>0</v>
      </c>
      <c r="F19" s="60">
        <f>+'Res per aktivitet'!U20+'Res per aktivitet'!W20</f>
        <v>28525</v>
      </c>
      <c r="G19" s="60">
        <f>E19-F19</f>
        <v>-28525</v>
      </c>
      <c r="H19" s="184">
        <v>-15000</v>
      </c>
      <c r="I19" s="60">
        <v>-28525</v>
      </c>
    </row>
    <row r="20" spans="1:9" ht="24" customHeight="1" hidden="1">
      <c r="A20" s="73">
        <v>30</v>
      </c>
      <c r="B20" s="97" t="s">
        <v>112</v>
      </c>
      <c r="C20" s="97">
        <v>4000</v>
      </c>
      <c r="D20" s="28" t="s">
        <v>8</v>
      </c>
      <c r="E20" s="60">
        <f>+'Res per aktivitet'!K21+'Res per aktivitet'!V21</f>
        <v>0</v>
      </c>
      <c r="F20" s="60">
        <f>+'Res per aktivitet'!U21+'Res per aktivitet'!W21</f>
        <v>0</v>
      </c>
      <c r="G20" s="60">
        <f>E20-F20</f>
        <v>0</v>
      </c>
      <c r="H20" s="184">
        <v>0</v>
      </c>
      <c r="I20" s="60">
        <v>0</v>
      </c>
    </row>
    <row r="21" spans="1:9" ht="24" customHeight="1">
      <c r="A21" s="73">
        <v>30</v>
      </c>
      <c r="B21" s="97" t="s">
        <v>112</v>
      </c>
      <c r="C21" s="97">
        <v>4001</v>
      </c>
      <c r="D21" s="28" t="s">
        <v>30</v>
      </c>
      <c r="E21" s="60">
        <f>+'Res per aktivitet'!K22+'Res per aktivitet'!V22</f>
        <v>0</v>
      </c>
      <c r="F21" s="60">
        <f>+'Res per aktivitet'!U22+'Res per aktivitet'!W22</f>
        <v>96754</v>
      </c>
      <c r="G21" s="60">
        <f t="shared" si="0"/>
        <v>-96754</v>
      </c>
      <c r="H21" s="184">
        <v>-90000</v>
      </c>
      <c r="I21" s="60">
        <v>-103266</v>
      </c>
    </row>
    <row r="22" spans="1:9" ht="24" customHeight="1" hidden="1">
      <c r="A22" s="73">
        <v>30</v>
      </c>
      <c r="B22" s="97" t="s">
        <v>112</v>
      </c>
      <c r="C22" s="97">
        <v>4002</v>
      </c>
      <c r="D22" s="43" t="s">
        <v>35</v>
      </c>
      <c r="E22" s="60">
        <f>+'Res per aktivitet'!K23+'Res per aktivitet'!V23</f>
        <v>0</v>
      </c>
      <c r="F22" s="60">
        <f>+'Res per aktivitet'!U23+'Res per aktivitet'!W23</f>
        <v>0</v>
      </c>
      <c r="G22" s="60">
        <f t="shared" si="0"/>
        <v>0</v>
      </c>
      <c r="H22" s="184">
        <v>0</v>
      </c>
      <c r="I22" s="60">
        <v>0</v>
      </c>
    </row>
    <row r="23" spans="1:9" ht="24" customHeight="1" hidden="1">
      <c r="A23" s="73">
        <v>50</v>
      </c>
      <c r="B23" s="97" t="s">
        <v>114</v>
      </c>
      <c r="C23" s="97">
        <v>5000</v>
      </c>
      <c r="D23" s="43" t="s">
        <v>100</v>
      </c>
      <c r="E23" s="60">
        <f>+'Res per aktivitet'!K24+'Res per aktivitet'!V24</f>
        <v>0</v>
      </c>
      <c r="F23" s="60">
        <f>+'Res per aktivitet'!U24+'Res per aktivitet'!W24</f>
        <v>0</v>
      </c>
      <c r="G23" s="60">
        <f>E23-F23</f>
        <v>0</v>
      </c>
      <c r="H23" s="184">
        <v>0</v>
      </c>
      <c r="I23" s="60">
        <v>0</v>
      </c>
    </row>
    <row r="24" spans="1:9" ht="15.75" customHeight="1" hidden="1">
      <c r="A24" s="98"/>
      <c r="B24" s="43"/>
      <c r="C24" s="43"/>
      <c r="D24" s="43"/>
      <c r="E24" s="60"/>
      <c r="F24" s="60"/>
      <c r="G24" s="60"/>
      <c r="H24" s="184"/>
      <c r="I24" s="60"/>
    </row>
    <row r="25" spans="1:9" s="39" customFormat="1" ht="18.75" customHeight="1">
      <c r="A25" s="71" t="s">
        <v>69</v>
      </c>
      <c r="B25" s="55"/>
      <c r="C25" s="55"/>
      <c r="D25" s="55"/>
      <c r="E25" s="185">
        <f>SUM(E8:E23)</f>
        <v>753432</v>
      </c>
      <c r="F25" s="185">
        <f>SUM(F8:F23)</f>
        <v>775023</v>
      </c>
      <c r="G25" s="185">
        <f>SUM(G8:G23)+2</f>
        <v>-21589</v>
      </c>
      <c r="H25" s="185">
        <f>SUM(H8:H23)</f>
        <v>0</v>
      </c>
      <c r="I25" s="185">
        <f>SUM(I8:I23)+2</f>
        <v>-12017</v>
      </c>
    </row>
    <row r="26" spans="5:9" ht="15.75">
      <c r="E26" s="99"/>
      <c r="F26" s="99"/>
      <c r="G26" s="100"/>
      <c r="H26" s="102"/>
      <c r="I26" s="101"/>
    </row>
    <row r="27" spans="6:7" ht="15.75">
      <c r="F27" s="4" t="s">
        <v>1</v>
      </c>
      <c r="G27" s="103" t="s">
        <v>1</v>
      </c>
    </row>
    <row r="28" ht="15.75">
      <c r="G28" s="103" t="s">
        <v>1</v>
      </c>
    </row>
  </sheetData>
  <sheetProtection/>
  <printOptions/>
  <pageMargins left="0.9448818897637796" right="0.5905511811023623" top="0.31496062992125984" bottom="0.5118110236220472" header="0.5118110236220472" footer="0.2362204724409449"/>
  <pageSetup fitToHeight="1" fitToWidth="1" horizontalDpi="600" verticalDpi="600" orientation="portrait" paperSize="9" scale="72" r:id="rId1"/>
  <headerFooter alignWithMargins="0">
    <oddFooter xml:space="preserve">&amp;C&amp;9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Y26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26" sqref="T26"/>
    </sheetView>
  </sheetViews>
  <sheetFormatPr defaultColWidth="9" defaultRowHeight="15"/>
  <cols>
    <col min="1" max="1" width="5.09765625" style="80" customWidth="1"/>
    <col min="2" max="2" width="16.5" style="80" bestFit="1" customWidth="1"/>
    <col min="3" max="3" width="5.09765625" style="80" customWidth="1"/>
    <col min="4" max="4" width="21.8984375" style="2" bestFit="1" customWidth="1"/>
    <col min="5" max="5" width="9.19921875" style="63" hidden="1" customWidth="1"/>
    <col min="6" max="6" width="7.19921875" style="63" customWidth="1"/>
    <col min="7" max="7" width="6.8984375" style="63" bestFit="1" customWidth="1"/>
    <col min="8" max="9" width="6.19921875" style="63" hidden="1" customWidth="1"/>
    <col min="10" max="10" width="5.69921875" style="63" hidden="1" customWidth="1"/>
    <col min="11" max="11" width="7.8984375" style="64" bestFit="1" customWidth="1"/>
    <col min="12" max="12" width="7.5" style="63" hidden="1" customWidth="1"/>
    <col min="13" max="13" width="7.69921875" style="63" bestFit="1" customWidth="1"/>
    <col min="14" max="14" width="6.69921875" style="63" bestFit="1" customWidth="1"/>
    <col min="15" max="15" width="6.69921875" style="63" customWidth="1"/>
    <col min="16" max="16" width="7" style="63" customWidth="1"/>
    <col min="17" max="17" width="6.8984375" style="63" bestFit="1" customWidth="1"/>
    <col min="18" max="18" width="7.59765625" style="63" hidden="1" customWidth="1"/>
    <col min="19" max="20" width="7.09765625" style="63" customWidth="1"/>
    <col min="21" max="21" width="8.3984375" style="64" bestFit="1" customWidth="1"/>
    <col min="22" max="22" width="6.19921875" style="63" customWidth="1"/>
    <col min="23" max="23" width="6.69921875" style="63" hidden="1" customWidth="1"/>
    <col min="24" max="24" width="6.3984375" style="64" bestFit="1" customWidth="1"/>
    <col min="25" max="25" width="7.69921875" style="69" customWidth="1"/>
    <col min="26" max="16384" width="9" style="2" customWidth="1"/>
  </cols>
  <sheetData>
    <row r="1" spans="1:25" ht="25.5">
      <c r="A1" s="62" t="s">
        <v>9</v>
      </c>
      <c r="B1" s="62"/>
      <c r="C1" s="62"/>
      <c r="Y1" s="65"/>
    </row>
    <row r="2" spans="1:25" ht="20.25">
      <c r="A2" s="66"/>
      <c r="B2" s="66"/>
      <c r="C2" s="66"/>
      <c r="Y2" s="65"/>
    </row>
    <row r="3" spans="1:25" ht="20.25">
      <c r="A3" s="67" t="s">
        <v>231</v>
      </c>
      <c r="B3" s="67"/>
      <c r="C3" s="67"/>
      <c r="Y3" s="65"/>
    </row>
    <row r="4" spans="1:11" ht="15" customHeight="1">
      <c r="A4" s="66"/>
      <c r="B4" s="66"/>
      <c r="C4" s="66"/>
      <c r="K4" s="68"/>
    </row>
    <row r="5" spans="1:25" ht="20.25">
      <c r="A5" s="70" t="s">
        <v>39</v>
      </c>
      <c r="B5" s="123"/>
      <c r="C5" s="123"/>
      <c r="D5" s="21"/>
      <c r="E5" s="292" t="s">
        <v>43</v>
      </c>
      <c r="F5" s="293"/>
      <c r="G5" s="293"/>
      <c r="H5" s="293"/>
      <c r="I5" s="293"/>
      <c r="J5" s="293"/>
      <c r="K5" s="293"/>
      <c r="M5" s="78" t="s">
        <v>46</v>
      </c>
      <c r="N5" s="125"/>
      <c r="O5" s="125"/>
      <c r="P5" s="125"/>
      <c r="Q5" s="125"/>
      <c r="R5" s="125"/>
      <c r="S5" s="125"/>
      <c r="T5" s="125"/>
      <c r="U5" s="281"/>
      <c r="V5" s="292" t="s">
        <v>98</v>
      </c>
      <c r="W5" s="293"/>
      <c r="X5" s="294"/>
      <c r="Y5" s="173"/>
    </row>
    <row r="6" spans="1:25" ht="15.75">
      <c r="A6" s="72"/>
      <c r="B6" s="43"/>
      <c r="C6" s="43"/>
      <c r="D6" s="43"/>
      <c r="E6" s="171" t="s">
        <v>70</v>
      </c>
      <c r="F6" s="171" t="s">
        <v>103</v>
      </c>
      <c r="G6" s="171" t="s">
        <v>71</v>
      </c>
      <c r="H6" s="171" t="s">
        <v>8</v>
      </c>
      <c r="I6" s="171" t="s">
        <v>72</v>
      </c>
      <c r="J6" s="171" t="s">
        <v>73</v>
      </c>
      <c r="K6" s="172" t="s">
        <v>69</v>
      </c>
      <c r="L6" s="171" t="s">
        <v>74</v>
      </c>
      <c r="M6" s="171" t="s">
        <v>93</v>
      </c>
      <c r="N6" s="171" t="s">
        <v>75</v>
      </c>
      <c r="O6" s="171" t="s">
        <v>95</v>
      </c>
      <c r="P6" s="171" t="s">
        <v>76</v>
      </c>
      <c r="Q6" s="171" t="s">
        <v>77</v>
      </c>
      <c r="R6" s="171" t="s">
        <v>36</v>
      </c>
      <c r="S6" s="171" t="s">
        <v>78</v>
      </c>
      <c r="T6" s="171" t="s">
        <v>118</v>
      </c>
      <c r="U6" s="172" t="s">
        <v>69</v>
      </c>
      <c r="V6" s="171" t="s">
        <v>79</v>
      </c>
      <c r="W6" s="171" t="s">
        <v>79</v>
      </c>
      <c r="X6" s="172" t="s">
        <v>0</v>
      </c>
      <c r="Y6" s="172" t="s">
        <v>69</v>
      </c>
    </row>
    <row r="7" spans="1:25" ht="24.75">
      <c r="A7" s="174" t="s">
        <v>106</v>
      </c>
      <c r="B7" s="175"/>
      <c r="C7" s="174" t="s">
        <v>107</v>
      </c>
      <c r="D7" s="176"/>
      <c r="E7" s="167" t="s">
        <v>80</v>
      </c>
      <c r="F7" s="167" t="s">
        <v>4</v>
      </c>
      <c r="G7" s="167" t="s">
        <v>81</v>
      </c>
      <c r="H7" s="167" t="s">
        <v>4</v>
      </c>
      <c r="I7" s="167" t="s">
        <v>4</v>
      </c>
      <c r="J7" s="167" t="s">
        <v>82</v>
      </c>
      <c r="K7" s="168" t="s">
        <v>83</v>
      </c>
      <c r="L7" s="167" t="s">
        <v>84</v>
      </c>
      <c r="M7" s="167" t="s">
        <v>94</v>
      </c>
      <c r="N7" s="167" t="s">
        <v>85</v>
      </c>
      <c r="O7" s="167" t="s">
        <v>96</v>
      </c>
      <c r="P7" s="167" t="s">
        <v>86</v>
      </c>
      <c r="Q7" s="167" t="s">
        <v>87</v>
      </c>
      <c r="R7" s="169" t="s">
        <v>97</v>
      </c>
      <c r="S7" s="167" t="s">
        <v>88</v>
      </c>
      <c r="T7" s="169"/>
      <c r="U7" s="168" t="s">
        <v>89</v>
      </c>
      <c r="V7" s="167" t="s">
        <v>90</v>
      </c>
      <c r="W7" s="167" t="s">
        <v>85</v>
      </c>
      <c r="X7" s="168" t="s">
        <v>91</v>
      </c>
      <c r="Y7" s="170" t="s">
        <v>92</v>
      </c>
    </row>
    <row r="8" spans="1:25" ht="15.75" hidden="1">
      <c r="A8" s="73"/>
      <c r="B8" s="97"/>
      <c r="C8" s="97"/>
      <c r="D8" s="28"/>
      <c r="E8" s="74"/>
      <c r="F8" s="74"/>
      <c r="G8" s="74"/>
      <c r="H8" s="74"/>
      <c r="I8" s="74"/>
      <c r="J8" s="74"/>
      <c r="K8" s="75"/>
      <c r="L8" s="74"/>
      <c r="M8" s="74"/>
      <c r="N8" s="74"/>
      <c r="O8" s="74"/>
      <c r="P8" s="74"/>
      <c r="Q8" s="74"/>
      <c r="R8" s="74" t="s">
        <v>1</v>
      </c>
      <c r="S8" s="74"/>
      <c r="T8" s="74"/>
      <c r="U8" s="75"/>
      <c r="V8" s="74"/>
      <c r="W8" s="74"/>
      <c r="X8" s="75"/>
      <c r="Y8" s="76"/>
    </row>
    <row r="9" spans="1:25" ht="15.75">
      <c r="A9" s="154">
        <v>10</v>
      </c>
      <c r="B9" s="155" t="s">
        <v>108</v>
      </c>
      <c r="C9" s="154">
        <v>1000</v>
      </c>
      <c r="D9" s="156" t="s">
        <v>5</v>
      </c>
      <c r="E9" s="157">
        <v>0</v>
      </c>
      <c r="F9" s="189">
        <v>0</v>
      </c>
      <c r="G9" s="190">
        <v>0</v>
      </c>
      <c r="H9" s="190">
        <v>0</v>
      </c>
      <c r="I9" s="190">
        <v>0</v>
      </c>
      <c r="J9" s="190">
        <v>0</v>
      </c>
      <c r="K9" s="191">
        <f aca="true" t="shared" si="0" ref="K9:K24">SUM(E9:J9)</f>
        <v>0</v>
      </c>
      <c r="L9" s="157">
        <v>0</v>
      </c>
      <c r="M9" s="190">
        <v>0</v>
      </c>
      <c r="N9" s="190">
        <v>0</v>
      </c>
      <c r="O9" s="190">
        <v>690</v>
      </c>
      <c r="P9" s="190">
        <f>377962+5000</f>
        <v>382962</v>
      </c>
      <c r="Q9" s="190">
        <v>14054</v>
      </c>
      <c r="R9" s="190"/>
      <c r="S9" s="190">
        <v>742</v>
      </c>
      <c r="T9" s="190">
        <v>0</v>
      </c>
      <c r="U9" s="191">
        <f aca="true" t="shared" si="1" ref="U9:U24">SUM(L9:S9)</f>
        <v>398448</v>
      </c>
      <c r="V9" s="190">
        <v>46702</v>
      </c>
      <c r="W9" s="190">
        <v>0</v>
      </c>
      <c r="X9" s="192">
        <f>+V9-W9</f>
        <v>46702</v>
      </c>
      <c r="Y9" s="191">
        <f aca="true" t="shared" si="2" ref="Y9:Y24">+K9-U9+X9</f>
        <v>-351746</v>
      </c>
    </row>
    <row r="10" spans="1:25" ht="15.75">
      <c r="A10" s="158">
        <v>60</v>
      </c>
      <c r="B10" s="159" t="s">
        <v>109</v>
      </c>
      <c r="C10" s="158">
        <v>1100</v>
      </c>
      <c r="D10" s="160" t="s">
        <v>110</v>
      </c>
      <c r="E10" s="161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4">
        <f t="shared" si="0"/>
        <v>0</v>
      </c>
      <c r="L10" s="161">
        <v>0</v>
      </c>
      <c r="M10" s="193">
        <v>0</v>
      </c>
      <c r="N10" s="193">
        <v>11410</v>
      </c>
      <c r="O10" s="193">
        <v>0</v>
      </c>
      <c r="P10" s="193">
        <v>0</v>
      </c>
      <c r="Q10" s="193">
        <v>58736</v>
      </c>
      <c r="R10" s="193">
        <v>0</v>
      </c>
      <c r="S10" s="193">
        <v>2020</v>
      </c>
      <c r="T10" s="193">
        <v>0</v>
      </c>
      <c r="U10" s="194">
        <f>SUM(L10:T10)</f>
        <v>72166</v>
      </c>
      <c r="V10" s="193">
        <v>0</v>
      </c>
      <c r="W10" s="193">
        <v>0</v>
      </c>
      <c r="X10" s="195">
        <f aca="true" t="shared" si="3" ref="X10:X23">+V10-W10</f>
        <v>0</v>
      </c>
      <c r="Y10" s="194">
        <f t="shared" si="2"/>
        <v>-72166</v>
      </c>
    </row>
    <row r="11" spans="1:25" ht="15.75">
      <c r="A11" s="158">
        <v>10</v>
      </c>
      <c r="B11" s="159" t="s">
        <v>108</v>
      </c>
      <c r="C11" s="158">
        <v>1150</v>
      </c>
      <c r="D11" s="160" t="s">
        <v>111</v>
      </c>
      <c r="E11" s="161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4">
        <f t="shared" si="0"/>
        <v>0</v>
      </c>
      <c r="L11" s="161">
        <v>0</v>
      </c>
      <c r="M11" s="193">
        <v>0</v>
      </c>
      <c r="N11" s="193">
        <v>77018</v>
      </c>
      <c r="O11" s="193">
        <v>0</v>
      </c>
      <c r="P11" s="193">
        <v>0</v>
      </c>
      <c r="Q11" s="193"/>
      <c r="R11" s="193"/>
      <c r="S11" s="193"/>
      <c r="T11" s="193">
        <v>0</v>
      </c>
      <c r="U11" s="194">
        <f t="shared" si="1"/>
        <v>77018</v>
      </c>
      <c r="V11" s="193">
        <v>0</v>
      </c>
      <c r="W11" s="193">
        <v>0</v>
      </c>
      <c r="X11" s="195">
        <f t="shared" si="3"/>
        <v>0</v>
      </c>
      <c r="Y11" s="194">
        <f t="shared" si="2"/>
        <v>-77018</v>
      </c>
    </row>
    <row r="12" spans="1:25" ht="15.75" hidden="1">
      <c r="A12" s="158">
        <v>30</v>
      </c>
      <c r="B12" s="159" t="s">
        <v>112</v>
      </c>
      <c r="C12" s="158">
        <v>1200</v>
      </c>
      <c r="D12" s="162" t="s">
        <v>27</v>
      </c>
      <c r="E12" s="161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4">
        <f t="shared" si="0"/>
        <v>0</v>
      </c>
      <c r="L12" s="161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4">
        <f t="shared" si="1"/>
        <v>0</v>
      </c>
      <c r="V12" s="193">
        <v>0</v>
      </c>
      <c r="W12" s="193">
        <v>0</v>
      </c>
      <c r="X12" s="195">
        <f t="shared" si="3"/>
        <v>0</v>
      </c>
      <c r="Y12" s="194">
        <f t="shared" si="2"/>
        <v>0</v>
      </c>
    </row>
    <row r="13" spans="1:25" ht="15.75">
      <c r="A13" s="158">
        <v>10</v>
      </c>
      <c r="B13" s="159" t="s">
        <v>108</v>
      </c>
      <c r="C13" s="158">
        <v>1501</v>
      </c>
      <c r="D13" s="162" t="s">
        <v>36</v>
      </c>
      <c r="E13" s="161">
        <v>0</v>
      </c>
      <c r="F13" s="193">
        <v>680355</v>
      </c>
      <c r="G13" s="193">
        <v>0</v>
      </c>
      <c r="H13" s="193">
        <v>0</v>
      </c>
      <c r="I13" s="193">
        <v>0</v>
      </c>
      <c r="J13" s="193">
        <v>0</v>
      </c>
      <c r="K13" s="194">
        <f t="shared" si="0"/>
        <v>680355</v>
      </c>
      <c r="L13" s="161">
        <v>0</v>
      </c>
      <c r="M13" s="193">
        <v>0</v>
      </c>
      <c r="N13" s="193">
        <v>0</v>
      </c>
      <c r="O13" s="193"/>
      <c r="P13" s="193">
        <v>0</v>
      </c>
      <c r="Q13" s="193"/>
      <c r="R13" s="193">
        <v>0</v>
      </c>
      <c r="S13" s="193">
        <v>0</v>
      </c>
      <c r="T13" s="193">
        <v>0</v>
      </c>
      <c r="U13" s="194">
        <f t="shared" si="1"/>
        <v>0</v>
      </c>
      <c r="V13" s="193">
        <v>0</v>
      </c>
      <c r="W13" s="193">
        <v>0</v>
      </c>
      <c r="X13" s="195">
        <f t="shared" si="3"/>
        <v>0</v>
      </c>
      <c r="Y13" s="194">
        <f t="shared" si="2"/>
        <v>680355</v>
      </c>
    </row>
    <row r="14" spans="1:25" ht="15.75">
      <c r="A14" s="158">
        <v>10</v>
      </c>
      <c r="B14" s="159" t="s">
        <v>108</v>
      </c>
      <c r="C14" s="158">
        <v>1550</v>
      </c>
      <c r="D14" s="160" t="s">
        <v>28</v>
      </c>
      <c r="E14" s="161">
        <v>0</v>
      </c>
      <c r="F14" s="193">
        <v>18000</v>
      </c>
      <c r="G14" s="193">
        <v>0</v>
      </c>
      <c r="H14" s="193">
        <v>0</v>
      </c>
      <c r="I14" s="193">
        <v>0</v>
      </c>
      <c r="J14" s="193">
        <v>0</v>
      </c>
      <c r="K14" s="194">
        <f t="shared" si="0"/>
        <v>18000</v>
      </c>
      <c r="L14" s="161">
        <v>0</v>
      </c>
      <c r="M14" s="193">
        <v>0</v>
      </c>
      <c r="N14" s="193">
        <v>0</v>
      </c>
      <c r="O14" s="193"/>
      <c r="P14" s="193">
        <v>0</v>
      </c>
      <c r="Q14" s="193"/>
      <c r="R14" s="193">
        <v>0</v>
      </c>
      <c r="S14" s="193">
        <v>0</v>
      </c>
      <c r="T14" s="193">
        <v>0</v>
      </c>
      <c r="U14" s="194">
        <f t="shared" si="1"/>
        <v>0</v>
      </c>
      <c r="V14" s="193">
        <v>0</v>
      </c>
      <c r="W14" s="193">
        <v>0</v>
      </c>
      <c r="X14" s="195">
        <f t="shared" si="3"/>
        <v>0</v>
      </c>
      <c r="Y14" s="194">
        <f t="shared" si="2"/>
        <v>18000</v>
      </c>
    </row>
    <row r="15" spans="1:25" ht="15.75">
      <c r="A15" s="158">
        <v>20</v>
      </c>
      <c r="B15" s="159" t="s">
        <v>113</v>
      </c>
      <c r="C15" s="158">
        <v>2000</v>
      </c>
      <c r="D15" s="162" t="s">
        <v>29</v>
      </c>
      <c r="E15" s="161">
        <v>0</v>
      </c>
      <c r="F15" s="193">
        <v>0</v>
      </c>
      <c r="G15" s="193">
        <v>8375</v>
      </c>
      <c r="H15" s="193">
        <v>0</v>
      </c>
      <c r="I15" s="193">
        <v>0</v>
      </c>
      <c r="J15" s="193">
        <v>0</v>
      </c>
      <c r="K15" s="194">
        <f t="shared" si="0"/>
        <v>8375</v>
      </c>
      <c r="L15" s="161">
        <v>0</v>
      </c>
      <c r="M15" s="193">
        <v>14500</v>
      </c>
      <c r="N15" s="193">
        <v>14263</v>
      </c>
      <c r="O15" s="193"/>
      <c r="P15" s="193">
        <v>0</v>
      </c>
      <c r="Q15" s="193">
        <v>1234</v>
      </c>
      <c r="R15" s="193">
        <v>0</v>
      </c>
      <c r="S15" s="193">
        <v>2938</v>
      </c>
      <c r="T15" s="193">
        <v>0</v>
      </c>
      <c r="U15" s="194">
        <f t="shared" si="1"/>
        <v>32935</v>
      </c>
      <c r="V15" s="193">
        <v>0</v>
      </c>
      <c r="W15" s="193">
        <v>0</v>
      </c>
      <c r="X15" s="195">
        <f t="shared" si="3"/>
        <v>0</v>
      </c>
      <c r="Y15" s="194">
        <f t="shared" si="2"/>
        <v>-24560</v>
      </c>
    </row>
    <row r="16" spans="1:25" ht="15.75" hidden="1">
      <c r="A16" s="158">
        <v>60</v>
      </c>
      <c r="B16" s="159" t="s">
        <v>109</v>
      </c>
      <c r="C16" s="158">
        <v>3000</v>
      </c>
      <c r="D16" s="160" t="s">
        <v>31</v>
      </c>
      <c r="E16" s="161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4">
        <f t="shared" si="0"/>
        <v>0</v>
      </c>
      <c r="L16" s="161">
        <v>0</v>
      </c>
      <c r="M16" s="193">
        <v>0</v>
      </c>
      <c r="N16" s="193">
        <v>0</v>
      </c>
      <c r="O16" s="193"/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4">
        <f t="shared" si="1"/>
        <v>0</v>
      </c>
      <c r="V16" s="193">
        <v>0</v>
      </c>
      <c r="W16" s="193">
        <v>0</v>
      </c>
      <c r="X16" s="195">
        <f t="shared" si="3"/>
        <v>0</v>
      </c>
      <c r="Y16" s="194">
        <f t="shared" si="2"/>
        <v>0</v>
      </c>
    </row>
    <row r="17" spans="1:25" ht="15.75" hidden="1">
      <c r="A17" s="158">
        <v>60</v>
      </c>
      <c r="B17" s="159" t="s">
        <v>109</v>
      </c>
      <c r="C17" s="158">
        <v>3020</v>
      </c>
      <c r="D17" s="160" t="s">
        <v>7</v>
      </c>
      <c r="E17" s="161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4">
        <f t="shared" si="0"/>
        <v>0</v>
      </c>
      <c r="L17" s="161">
        <v>0</v>
      </c>
      <c r="M17" s="193">
        <v>0</v>
      </c>
      <c r="N17" s="193">
        <v>0</v>
      </c>
      <c r="O17" s="193"/>
      <c r="P17" s="193">
        <v>0</v>
      </c>
      <c r="Q17" s="193"/>
      <c r="R17" s="193">
        <v>0</v>
      </c>
      <c r="S17" s="193">
        <v>0</v>
      </c>
      <c r="T17" s="193">
        <v>0</v>
      </c>
      <c r="U17" s="194">
        <f t="shared" si="1"/>
        <v>0</v>
      </c>
      <c r="V17" s="193">
        <v>0</v>
      </c>
      <c r="W17" s="193">
        <v>0</v>
      </c>
      <c r="X17" s="195">
        <f t="shared" si="3"/>
        <v>0</v>
      </c>
      <c r="Y17" s="194">
        <f t="shared" si="2"/>
        <v>0</v>
      </c>
    </row>
    <row r="18" spans="1:25" ht="15.75">
      <c r="A18" s="158">
        <v>40</v>
      </c>
      <c r="B18" s="159" t="s">
        <v>41</v>
      </c>
      <c r="C18" s="158">
        <v>3040</v>
      </c>
      <c r="D18" s="162" t="s">
        <v>41</v>
      </c>
      <c r="E18" s="161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4">
        <f t="shared" si="0"/>
        <v>0</v>
      </c>
      <c r="L18" s="161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19177</v>
      </c>
      <c r="R18" s="193">
        <v>0</v>
      </c>
      <c r="S18" s="193">
        <v>0</v>
      </c>
      <c r="T18" s="193">
        <v>0</v>
      </c>
      <c r="U18" s="194">
        <f t="shared" si="1"/>
        <v>19177</v>
      </c>
      <c r="V18" s="193">
        <v>0</v>
      </c>
      <c r="W18" s="193">
        <v>0</v>
      </c>
      <c r="X18" s="195">
        <f t="shared" si="3"/>
        <v>0</v>
      </c>
      <c r="Y18" s="194">
        <f t="shared" si="2"/>
        <v>-19177</v>
      </c>
    </row>
    <row r="19" spans="1:25" ht="15.75">
      <c r="A19" s="158">
        <v>40</v>
      </c>
      <c r="B19" s="159" t="s">
        <v>41</v>
      </c>
      <c r="C19" s="158">
        <v>3041</v>
      </c>
      <c r="D19" s="162" t="s">
        <v>208</v>
      </c>
      <c r="E19" s="161"/>
      <c r="F19" s="193"/>
      <c r="G19" s="193"/>
      <c r="H19" s="193"/>
      <c r="I19" s="193"/>
      <c r="J19" s="193"/>
      <c r="K19" s="194">
        <f t="shared" si="0"/>
        <v>0</v>
      </c>
      <c r="L19" s="161"/>
      <c r="M19" s="193"/>
      <c r="N19" s="193"/>
      <c r="O19" s="193"/>
      <c r="P19" s="193"/>
      <c r="Q19" s="193"/>
      <c r="R19" s="193"/>
      <c r="S19" s="193"/>
      <c r="T19" s="193">
        <v>50000</v>
      </c>
      <c r="U19" s="194">
        <f>SUM(L19:T19)</f>
        <v>50000</v>
      </c>
      <c r="V19" s="193"/>
      <c r="W19" s="193"/>
      <c r="X19" s="195"/>
      <c r="Y19" s="194">
        <f t="shared" si="2"/>
        <v>-50000</v>
      </c>
    </row>
    <row r="20" spans="1:25" ht="15.75">
      <c r="A20" s="158">
        <v>60</v>
      </c>
      <c r="B20" s="159" t="s">
        <v>109</v>
      </c>
      <c r="C20" s="158">
        <v>3050</v>
      </c>
      <c r="D20" s="160" t="s">
        <v>6</v>
      </c>
      <c r="E20" s="161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4">
        <f t="shared" si="0"/>
        <v>0</v>
      </c>
      <c r="L20" s="161">
        <v>0</v>
      </c>
      <c r="M20" s="193">
        <v>0</v>
      </c>
      <c r="N20" s="193">
        <v>28525</v>
      </c>
      <c r="O20" s="193"/>
      <c r="P20" s="193">
        <v>0</v>
      </c>
      <c r="Q20" s="193">
        <v>0</v>
      </c>
      <c r="R20" s="193">
        <v>0</v>
      </c>
      <c r="S20" s="196">
        <v>0</v>
      </c>
      <c r="T20" s="196">
        <v>0</v>
      </c>
      <c r="U20" s="194">
        <f t="shared" si="1"/>
        <v>28525</v>
      </c>
      <c r="V20" s="193">
        <v>0</v>
      </c>
      <c r="W20" s="193">
        <v>0</v>
      </c>
      <c r="X20" s="195">
        <f t="shared" si="3"/>
        <v>0</v>
      </c>
      <c r="Y20" s="194">
        <f t="shared" si="2"/>
        <v>-28525</v>
      </c>
    </row>
    <row r="21" spans="1:25" ht="15.75" hidden="1">
      <c r="A21" s="158">
        <v>30</v>
      </c>
      <c r="B21" s="159" t="s">
        <v>112</v>
      </c>
      <c r="C21" s="158">
        <v>4000</v>
      </c>
      <c r="D21" s="160" t="s">
        <v>8</v>
      </c>
      <c r="E21" s="161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4">
        <f t="shared" si="0"/>
        <v>0</v>
      </c>
      <c r="L21" s="161">
        <v>0</v>
      </c>
      <c r="M21" s="193">
        <v>0</v>
      </c>
      <c r="N21" s="193">
        <v>0</v>
      </c>
      <c r="O21" s="193"/>
      <c r="P21" s="193">
        <v>0</v>
      </c>
      <c r="Q21" s="193"/>
      <c r="R21" s="193">
        <v>0</v>
      </c>
      <c r="S21" s="196">
        <v>0</v>
      </c>
      <c r="T21" s="196">
        <v>0</v>
      </c>
      <c r="U21" s="194">
        <f t="shared" si="1"/>
        <v>0</v>
      </c>
      <c r="V21" s="193">
        <v>0</v>
      </c>
      <c r="W21" s="193">
        <v>0</v>
      </c>
      <c r="X21" s="195">
        <f t="shared" si="3"/>
        <v>0</v>
      </c>
      <c r="Y21" s="194">
        <f t="shared" si="2"/>
        <v>0</v>
      </c>
    </row>
    <row r="22" spans="1:25" ht="15.75">
      <c r="A22" s="158">
        <v>30</v>
      </c>
      <c r="B22" s="159" t="s">
        <v>112</v>
      </c>
      <c r="C22" s="158">
        <v>4001</v>
      </c>
      <c r="D22" s="160" t="s">
        <v>200</v>
      </c>
      <c r="E22" s="161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4">
        <f t="shared" si="0"/>
        <v>0</v>
      </c>
      <c r="L22" s="161">
        <v>0</v>
      </c>
      <c r="M22" s="193">
        <v>0</v>
      </c>
      <c r="N22" s="193">
        <v>0</v>
      </c>
      <c r="O22" s="193"/>
      <c r="P22" s="193">
        <v>0</v>
      </c>
      <c r="Q22" s="193">
        <v>96754</v>
      </c>
      <c r="R22" s="193">
        <v>0</v>
      </c>
      <c r="S22" s="196">
        <v>0</v>
      </c>
      <c r="T22" s="196">
        <v>0</v>
      </c>
      <c r="U22" s="194">
        <f t="shared" si="1"/>
        <v>96754</v>
      </c>
      <c r="V22" s="193">
        <v>0</v>
      </c>
      <c r="W22" s="193">
        <v>0</v>
      </c>
      <c r="X22" s="195">
        <f t="shared" si="3"/>
        <v>0</v>
      </c>
      <c r="Y22" s="194">
        <f t="shared" si="2"/>
        <v>-96754</v>
      </c>
    </row>
    <row r="23" spans="1:25" ht="15.75" hidden="1">
      <c r="A23" s="158">
        <v>30</v>
      </c>
      <c r="B23" s="159" t="s">
        <v>112</v>
      </c>
      <c r="C23" s="158">
        <v>4002</v>
      </c>
      <c r="D23" s="162" t="s">
        <v>35</v>
      </c>
      <c r="E23" s="161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4">
        <f t="shared" si="0"/>
        <v>0</v>
      </c>
      <c r="L23" s="161">
        <v>0</v>
      </c>
      <c r="M23" s="193">
        <v>0</v>
      </c>
      <c r="N23" s="193">
        <v>0</v>
      </c>
      <c r="O23" s="193"/>
      <c r="P23" s="193">
        <v>0</v>
      </c>
      <c r="Q23" s="193"/>
      <c r="R23" s="193">
        <v>0</v>
      </c>
      <c r="S23" s="196">
        <v>0</v>
      </c>
      <c r="T23" s="196">
        <v>0</v>
      </c>
      <c r="U23" s="194">
        <f t="shared" si="1"/>
        <v>0</v>
      </c>
      <c r="V23" s="193">
        <v>0</v>
      </c>
      <c r="W23" s="193">
        <v>0</v>
      </c>
      <c r="X23" s="195">
        <f t="shared" si="3"/>
        <v>0</v>
      </c>
      <c r="Y23" s="194">
        <f t="shared" si="2"/>
        <v>0</v>
      </c>
    </row>
    <row r="24" spans="1:25" ht="15.75" hidden="1">
      <c r="A24" s="163">
        <v>50</v>
      </c>
      <c r="B24" s="164" t="s">
        <v>148</v>
      </c>
      <c r="C24" s="163">
        <v>5000</v>
      </c>
      <c r="D24" s="165" t="s">
        <v>100</v>
      </c>
      <c r="E24" s="166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8">
        <f t="shared" si="0"/>
        <v>0</v>
      </c>
      <c r="L24" s="166">
        <v>0</v>
      </c>
      <c r="M24" s="197">
        <v>0</v>
      </c>
      <c r="N24" s="197">
        <v>0</v>
      </c>
      <c r="O24" s="197"/>
      <c r="P24" s="197">
        <v>0</v>
      </c>
      <c r="Q24" s="197">
        <v>0</v>
      </c>
      <c r="R24" s="197">
        <v>0</v>
      </c>
      <c r="S24" s="199">
        <v>0</v>
      </c>
      <c r="T24" s="199">
        <v>0</v>
      </c>
      <c r="U24" s="198">
        <f t="shared" si="1"/>
        <v>0</v>
      </c>
      <c r="V24" s="197">
        <v>0</v>
      </c>
      <c r="W24" s="197">
        <v>0</v>
      </c>
      <c r="X24" s="200">
        <f>+V24-W24</f>
        <v>0</v>
      </c>
      <c r="Y24" s="198">
        <f t="shared" si="2"/>
        <v>0</v>
      </c>
    </row>
    <row r="25" spans="1:25" ht="15.75" hidden="1">
      <c r="A25" s="77"/>
      <c r="B25" s="124"/>
      <c r="C25" s="124"/>
      <c r="D25" s="3"/>
      <c r="E25" s="151"/>
      <c r="F25" s="151"/>
      <c r="G25" s="151"/>
      <c r="H25" s="151"/>
      <c r="I25" s="151"/>
      <c r="J25" s="151"/>
      <c r="K25" s="186"/>
      <c r="L25" s="151"/>
      <c r="M25" s="151"/>
      <c r="N25" s="151"/>
      <c r="O25" s="151"/>
      <c r="P25" s="151"/>
      <c r="Q25" s="151"/>
      <c r="R25" s="151"/>
      <c r="S25" s="151"/>
      <c r="T25" s="151"/>
      <c r="U25" s="186"/>
      <c r="V25" s="151"/>
      <c r="W25" s="151"/>
      <c r="X25" s="152"/>
      <c r="Y25" s="188"/>
    </row>
    <row r="26" spans="1:25" s="39" customFormat="1" ht="15.75">
      <c r="A26" s="78" t="s">
        <v>69</v>
      </c>
      <c r="B26" s="125"/>
      <c r="C26" s="125"/>
      <c r="D26" s="79"/>
      <c r="E26" s="153">
        <f>SUM(E9:E24)</f>
        <v>0</v>
      </c>
      <c r="F26" s="187">
        <f aca="true" t="shared" si="4" ref="F26:X26">SUM(F9:F24)</f>
        <v>698355</v>
      </c>
      <c r="G26" s="187">
        <f t="shared" si="4"/>
        <v>8375</v>
      </c>
      <c r="H26" s="187">
        <f t="shared" si="4"/>
        <v>0</v>
      </c>
      <c r="I26" s="187">
        <f t="shared" si="4"/>
        <v>0</v>
      </c>
      <c r="J26" s="187">
        <f t="shared" si="4"/>
        <v>0</v>
      </c>
      <c r="K26" s="187">
        <f t="shared" si="4"/>
        <v>706730</v>
      </c>
      <c r="L26" s="187">
        <f t="shared" si="4"/>
        <v>0</v>
      </c>
      <c r="M26" s="187">
        <f t="shared" si="4"/>
        <v>14500</v>
      </c>
      <c r="N26" s="187">
        <f t="shared" si="4"/>
        <v>131216</v>
      </c>
      <c r="O26" s="187">
        <f t="shared" si="4"/>
        <v>690</v>
      </c>
      <c r="P26" s="187">
        <f t="shared" si="4"/>
        <v>382962</v>
      </c>
      <c r="Q26" s="187">
        <f t="shared" si="4"/>
        <v>189955</v>
      </c>
      <c r="R26" s="187">
        <f t="shared" si="4"/>
        <v>0</v>
      </c>
      <c r="S26" s="187">
        <f t="shared" si="4"/>
        <v>5700</v>
      </c>
      <c r="T26" s="187">
        <f>SUM(T9:T24)</f>
        <v>50000</v>
      </c>
      <c r="U26" s="187">
        <f t="shared" si="4"/>
        <v>775023</v>
      </c>
      <c r="V26" s="187">
        <f t="shared" si="4"/>
        <v>46702</v>
      </c>
      <c r="W26" s="187">
        <f t="shared" si="4"/>
        <v>0</v>
      </c>
      <c r="X26" s="187">
        <f t="shared" si="4"/>
        <v>46702</v>
      </c>
      <c r="Y26" s="187">
        <f>SUM(Y9:Y24)+2</f>
        <v>-21589</v>
      </c>
    </row>
  </sheetData>
  <sheetProtection/>
  <mergeCells count="2">
    <mergeCell ref="E5:K5"/>
    <mergeCell ref="V5:X5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75">
      <selection activeCell="H52" sqref="H52"/>
    </sheetView>
  </sheetViews>
  <sheetFormatPr defaultColWidth="11.19921875" defaultRowHeight="15"/>
  <cols>
    <col min="1" max="1" width="4.8984375" style="120" customWidth="1"/>
    <col min="2" max="2" width="27" style="120" customWidth="1"/>
    <col min="3" max="5" width="10.09765625" style="120" customWidth="1"/>
    <col min="6" max="6" width="14.19921875" style="120" customWidth="1"/>
    <col min="7" max="7" width="7.09765625" style="120" customWidth="1"/>
    <col min="8" max="10" width="15.3984375" style="120" bestFit="1" customWidth="1"/>
    <col min="11" max="16384" width="11" style="120" customWidth="1"/>
  </cols>
  <sheetData>
    <row r="1" ht="20.25">
      <c r="A1" s="206" t="s">
        <v>232</v>
      </c>
    </row>
    <row r="2" ht="25.5">
      <c r="A2" s="62" t="s">
        <v>9</v>
      </c>
    </row>
    <row r="3" ht="15.75">
      <c r="A3" s="39"/>
    </row>
    <row r="4" ht="15.75">
      <c r="A4" s="39" t="s">
        <v>155</v>
      </c>
    </row>
    <row r="5" ht="15.75">
      <c r="A5" s="80" t="s">
        <v>197</v>
      </c>
    </row>
    <row r="6" ht="15.75">
      <c r="A6" s="80" t="s">
        <v>156</v>
      </c>
    </row>
    <row r="7" spans="1:3" ht="15.75">
      <c r="A7" s="207" t="s">
        <v>157</v>
      </c>
      <c r="B7" s="2" t="s">
        <v>147</v>
      </c>
      <c r="C7" s="2"/>
    </row>
    <row r="8" spans="1:3" ht="15.75">
      <c r="A8" s="207" t="s">
        <v>157</v>
      </c>
      <c r="B8" s="2" t="s">
        <v>40</v>
      </c>
      <c r="C8" s="2"/>
    </row>
    <row r="9" spans="1:3" ht="15.75">
      <c r="A9" s="207" t="s">
        <v>157</v>
      </c>
      <c r="B9" s="2" t="s">
        <v>115</v>
      </c>
      <c r="C9" s="2"/>
    </row>
    <row r="10" ht="13.5" customHeight="1">
      <c r="A10" s="80"/>
    </row>
    <row r="11" ht="15.75">
      <c r="A11" s="80" t="s">
        <v>158</v>
      </c>
    </row>
    <row r="12" ht="15.75" customHeight="1">
      <c r="A12" s="80"/>
    </row>
    <row r="13" ht="15.75">
      <c r="A13" s="80" t="s">
        <v>159</v>
      </c>
    </row>
    <row r="14" ht="15.75">
      <c r="A14" s="80" t="s">
        <v>149</v>
      </c>
    </row>
    <row r="15" ht="15.75">
      <c r="A15" s="80" t="s">
        <v>150</v>
      </c>
    </row>
    <row r="16" ht="15.75" customHeight="1">
      <c r="A16" s="80"/>
    </row>
    <row r="17" ht="15.75">
      <c r="A17" s="80" t="s">
        <v>160</v>
      </c>
    </row>
    <row r="18" ht="15.75">
      <c r="A18" s="80" t="s">
        <v>161</v>
      </c>
    </row>
    <row r="19" ht="15.75">
      <c r="A19" s="80" t="s">
        <v>162</v>
      </c>
    </row>
    <row r="20" ht="15.75" customHeight="1">
      <c r="A20" s="80"/>
    </row>
    <row r="21" ht="15.75">
      <c r="A21" s="80" t="s">
        <v>163</v>
      </c>
    </row>
    <row r="22" ht="15.75">
      <c r="A22" s="80" t="s">
        <v>164</v>
      </c>
    </row>
    <row r="23" ht="15.75">
      <c r="A23" s="2" t="s">
        <v>165</v>
      </c>
    </row>
    <row r="24" ht="15.75" customHeight="1">
      <c r="A24" s="2"/>
    </row>
    <row r="25" ht="15.75">
      <c r="A25" s="39" t="s">
        <v>166</v>
      </c>
    </row>
    <row r="26" ht="15.75">
      <c r="A26" s="39" t="s">
        <v>199</v>
      </c>
    </row>
    <row r="27" spans="1:5" ht="12.75">
      <c r="A27" s="208" t="s">
        <v>46</v>
      </c>
      <c r="B27" s="209"/>
      <c r="C27" s="209">
        <v>2013</v>
      </c>
      <c r="D27" s="209">
        <v>2012</v>
      </c>
      <c r="E27" s="210">
        <v>2011</v>
      </c>
    </row>
    <row r="28" spans="1:5" ht="12.75">
      <c r="A28" s="211" t="s">
        <v>26</v>
      </c>
      <c r="B28" s="212"/>
      <c r="C28" s="213">
        <v>14500</v>
      </c>
      <c r="D28" s="213">
        <v>20750</v>
      </c>
      <c r="E28" s="214">
        <v>22500</v>
      </c>
    </row>
    <row r="29" spans="1:5" ht="12.75">
      <c r="A29" s="211" t="s">
        <v>34</v>
      </c>
      <c r="B29" s="212"/>
      <c r="C29" s="213">
        <v>131215</v>
      </c>
      <c r="D29" s="213">
        <v>139778</v>
      </c>
      <c r="E29" s="214">
        <v>122658</v>
      </c>
    </row>
    <row r="30" spans="1:5" ht="12.75">
      <c r="A30" s="211" t="s">
        <v>14</v>
      </c>
      <c r="B30" s="212"/>
      <c r="C30" s="213">
        <v>690</v>
      </c>
      <c r="D30" s="213">
        <v>5010</v>
      </c>
      <c r="E30" s="214">
        <v>3285</v>
      </c>
    </row>
    <row r="31" spans="1:5" ht="12.75">
      <c r="A31" s="211" t="s">
        <v>13</v>
      </c>
      <c r="B31" s="212"/>
      <c r="C31" s="213">
        <f>377962+5000</f>
        <v>382962</v>
      </c>
      <c r="D31" s="213">
        <v>389250</v>
      </c>
      <c r="E31" s="214">
        <v>379126</v>
      </c>
    </row>
    <row r="32" spans="1:5" ht="12.75">
      <c r="A32" s="211" t="s">
        <v>15</v>
      </c>
      <c r="B32" s="212"/>
      <c r="C32" s="213">
        <v>189955</v>
      </c>
      <c r="D32" s="213">
        <v>183791</v>
      </c>
      <c r="E32" s="214">
        <v>167978</v>
      </c>
    </row>
    <row r="33" spans="1:5" ht="12.75" hidden="1">
      <c r="A33" s="211" t="s">
        <v>47</v>
      </c>
      <c r="B33" s="212"/>
      <c r="C33" s="213">
        <v>0</v>
      </c>
      <c r="D33" s="213">
        <v>0</v>
      </c>
      <c r="E33" s="214">
        <v>0</v>
      </c>
    </row>
    <row r="34" spans="1:5" ht="12.75">
      <c r="A34" s="211" t="s">
        <v>205</v>
      </c>
      <c r="B34" s="212"/>
      <c r="C34" s="213">
        <v>5700</v>
      </c>
      <c r="D34" s="213">
        <v>8657</v>
      </c>
      <c r="E34" s="214">
        <v>4673</v>
      </c>
    </row>
    <row r="35" spans="1:5" ht="12.75" hidden="1">
      <c r="A35" s="211" t="s">
        <v>105</v>
      </c>
      <c r="B35" s="212"/>
      <c r="C35" s="213">
        <v>0</v>
      </c>
      <c r="D35" s="213">
        <v>0</v>
      </c>
      <c r="E35" s="214">
        <v>0</v>
      </c>
    </row>
    <row r="36" spans="1:5" ht="12.75">
      <c r="A36" s="211" t="s">
        <v>118</v>
      </c>
      <c r="B36" s="212"/>
      <c r="C36" s="213">
        <v>50000</v>
      </c>
      <c r="D36" s="213">
        <v>10000</v>
      </c>
      <c r="E36" s="214"/>
    </row>
    <row r="37" spans="1:5" ht="12.75">
      <c r="A37" s="215" t="s">
        <v>49</v>
      </c>
      <c r="B37" s="216"/>
      <c r="C37" s="217">
        <f>SUM(C28:C36)</f>
        <v>775022</v>
      </c>
      <c r="D37" s="218">
        <f>+D28+D29+D30+D31+D32+D34+D36</f>
        <v>757236</v>
      </c>
      <c r="E37" s="218">
        <f>+E28+E29+E30+E31+E32+E34</f>
        <v>700220</v>
      </c>
    </row>
    <row r="38" spans="1:5" ht="12.75">
      <c r="A38" s="219"/>
      <c r="B38" s="212"/>
      <c r="C38" s="220"/>
      <c r="D38" s="220"/>
      <c r="E38" s="221"/>
    </row>
    <row r="39" spans="1:5" ht="12.75">
      <c r="A39" s="222" t="s">
        <v>51</v>
      </c>
      <c r="B39" s="212"/>
      <c r="C39" s="213"/>
      <c r="D39" s="213"/>
      <c r="E39" s="214"/>
    </row>
    <row r="40" spans="1:5" ht="12.75">
      <c r="A40" s="211" t="s">
        <v>128</v>
      </c>
      <c r="B40" s="212"/>
      <c r="C40" s="213">
        <v>46702</v>
      </c>
      <c r="D40" s="213">
        <v>55170</v>
      </c>
      <c r="E40" s="214">
        <v>52487</v>
      </c>
    </row>
    <row r="41" spans="1:5" ht="12.75" hidden="1">
      <c r="A41" s="211" t="s">
        <v>167</v>
      </c>
      <c r="B41" s="212"/>
      <c r="C41" s="213">
        <v>0</v>
      </c>
      <c r="D41" s="213">
        <v>0</v>
      </c>
      <c r="E41" s="214">
        <v>0</v>
      </c>
    </row>
    <row r="42" spans="1:5" ht="12.75">
      <c r="A42" s="215" t="s">
        <v>52</v>
      </c>
      <c r="B42" s="216"/>
      <c r="C42" s="217">
        <f>SUM(C40-C41)</f>
        <v>46702</v>
      </c>
      <c r="D42" s="217">
        <v>52487</v>
      </c>
      <c r="E42" s="218">
        <v>41705</v>
      </c>
    </row>
    <row r="43" ht="15.75">
      <c r="A43" s="80"/>
    </row>
    <row r="44" ht="15.75">
      <c r="A44" s="80" t="s">
        <v>168</v>
      </c>
    </row>
    <row r="45" ht="15.75">
      <c r="A45" s="80" t="s">
        <v>187</v>
      </c>
    </row>
    <row r="46" ht="15.75">
      <c r="A46" s="80" t="s">
        <v>186</v>
      </c>
    </row>
    <row r="47" ht="15.75">
      <c r="A47" s="80"/>
    </row>
    <row r="48" ht="15.75">
      <c r="A48" s="39" t="s">
        <v>169</v>
      </c>
    </row>
    <row r="49" ht="15.75">
      <c r="A49" s="80" t="s">
        <v>185</v>
      </c>
    </row>
    <row r="50" ht="15.75">
      <c r="A50" s="39" t="s">
        <v>213</v>
      </c>
    </row>
    <row r="51" ht="15.75">
      <c r="A51" s="2" t="s">
        <v>240</v>
      </c>
    </row>
    <row r="52" ht="15.75">
      <c r="A52" s="2" t="s">
        <v>237</v>
      </c>
    </row>
    <row r="53" spans="1:4" ht="12.75">
      <c r="A53" s="282" t="s">
        <v>2</v>
      </c>
      <c r="C53" s="289" t="s">
        <v>224</v>
      </c>
      <c r="D53" s="289" t="s">
        <v>225</v>
      </c>
    </row>
    <row r="54" spans="1:4" ht="12.75">
      <c r="A54" s="287" t="s">
        <v>122</v>
      </c>
      <c r="B54" s="209"/>
      <c r="C54" s="217">
        <v>16750</v>
      </c>
      <c r="D54" s="218">
        <f>+C54/2</f>
        <v>8375</v>
      </c>
    </row>
    <row r="55" spans="1:4" ht="12.75">
      <c r="A55" s="285" t="s">
        <v>3</v>
      </c>
      <c r="B55" s="209"/>
      <c r="C55" s="288"/>
      <c r="D55" s="240"/>
    </row>
    <row r="56" spans="1:4" ht="12.75">
      <c r="A56" s="283" t="s">
        <v>26</v>
      </c>
      <c r="B56" s="284"/>
      <c r="C56" s="286">
        <v>29000</v>
      </c>
      <c r="D56" s="291">
        <f>+C56/2</f>
        <v>14500</v>
      </c>
    </row>
    <row r="57" spans="1:4" ht="12.75">
      <c r="A57" s="211" t="s">
        <v>34</v>
      </c>
      <c r="B57" s="212"/>
      <c r="C57" s="213">
        <f>25000+3525</f>
        <v>28525</v>
      </c>
      <c r="D57" s="290">
        <f>+C57/2</f>
        <v>14262.5</v>
      </c>
    </row>
    <row r="58" spans="1:6" ht="12.75">
      <c r="A58" s="211" t="s">
        <v>216</v>
      </c>
      <c r="B58" s="212"/>
      <c r="C58" s="213">
        <v>2468</v>
      </c>
      <c r="D58" s="290">
        <f>+C58/2</f>
        <v>1234</v>
      </c>
      <c r="F58" s="240"/>
    </row>
    <row r="59" spans="1:4" ht="12.75">
      <c r="A59" s="211" t="s">
        <v>214</v>
      </c>
      <c r="B59" s="212"/>
      <c r="C59" s="239">
        <v>5875</v>
      </c>
      <c r="D59" s="279">
        <f>+C59/2</f>
        <v>2937.5</v>
      </c>
    </row>
    <row r="60" spans="1:4" ht="12.75">
      <c r="A60" s="215" t="s">
        <v>215</v>
      </c>
      <c r="B60" s="216"/>
      <c r="C60" s="217">
        <f>SUM(C56:C59)</f>
        <v>65868</v>
      </c>
      <c r="D60" s="279">
        <f>SUM(D56:D59)</f>
        <v>32934</v>
      </c>
    </row>
    <row r="61" spans="1:3" ht="12.75">
      <c r="A61" s="286"/>
      <c r="B61" s="212"/>
      <c r="C61" s="213"/>
    </row>
    <row r="62" ht="15.75">
      <c r="A62" s="2"/>
    </row>
    <row r="63" ht="15.75">
      <c r="A63" s="39" t="s">
        <v>217</v>
      </c>
    </row>
    <row r="64" spans="1:4" ht="12.75">
      <c r="A64" s="223" t="s">
        <v>8</v>
      </c>
      <c r="B64" s="224"/>
      <c r="C64" s="224"/>
      <c r="D64" s="225" t="s">
        <v>170</v>
      </c>
    </row>
    <row r="65" spans="1:4" ht="12.75" hidden="1">
      <c r="A65" s="226">
        <v>1200</v>
      </c>
      <c r="B65" s="268" t="s">
        <v>27</v>
      </c>
      <c r="C65" s="220"/>
      <c r="D65" s="227">
        <v>0</v>
      </c>
    </row>
    <row r="66" spans="1:4" ht="12.75">
      <c r="A66" s="226">
        <v>4001</v>
      </c>
      <c r="B66" s="220" t="s">
        <v>194</v>
      </c>
      <c r="C66" s="220"/>
      <c r="D66" s="227">
        <v>96754</v>
      </c>
    </row>
    <row r="67" spans="1:4" ht="12.75" hidden="1">
      <c r="A67" s="226"/>
      <c r="B67" s="220"/>
      <c r="C67" s="220"/>
      <c r="D67" s="227">
        <v>0</v>
      </c>
    </row>
    <row r="68" spans="1:4" ht="12.75">
      <c r="A68" s="228" t="s">
        <v>69</v>
      </c>
      <c r="B68" s="229"/>
      <c r="C68" s="229"/>
      <c r="D68" s="230">
        <f>SUM(D65:D67)</f>
        <v>96754</v>
      </c>
    </row>
    <row r="69" ht="15.75">
      <c r="A69" s="2"/>
    </row>
    <row r="70" spans="1:5" ht="15.75">
      <c r="A70" s="232" t="s">
        <v>218</v>
      </c>
      <c r="B70" s="233"/>
      <c r="C70" s="233"/>
      <c r="D70" s="233"/>
      <c r="E70" s="233"/>
    </row>
    <row r="71" spans="1:5" ht="15.75">
      <c r="A71" s="51" t="s">
        <v>171</v>
      </c>
      <c r="B71" s="233"/>
      <c r="C71" s="233"/>
      <c r="D71" s="233"/>
      <c r="E71" s="233"/>
    </row>
    <row r="72" spans="1:5" ht="15.75">
      <c r="A72" s="51" t="s">
        <v>198</v>
      </c>
      <c r="B72" s="233"/>
      <c r="C72" s="233"/>
      <c r="D72" s="233"/>
      <c r="E72" s="233"/>
    </row>
    <row r="73" spans="1:10" ht="15.75">
      <c r="A73" s="234"/>
      <c r="B73" s="235"/>
      <c r="C73" s="235">
        <v>2013</v>
      </c>
      <c r="D73" s="235">
        <v>2012</v>
      </c>
      <c r="E73" s="235">
        <v>2011</v>
      </c>
      <c r="I73" s="237" t="s">
        <v>172</v>
      </c>
      <c r="J73" s="237" t="s">
        <v>173</v>
      </c>
    </row>
    <row r="74" spans="1:10" ht="15.75">
      <c r="A74" s="53" t="s">
        <v>173</v>
      </c>
      <c r="C74" s="276">
        <v>0.39</v>
      </c>
      <c r="D74" s="276">
        <v>0.37</v>
      </c>
      <c r="E74" s="238">
        <v>0.34</v>
      </c>
      <c r="H74" s="236" t="s">
        <v>151</v>
      </c>
      <c r="I74" s="239">
        <f>+Aktivitetsresultat!C36</f>
        <v>475466</v>
      </c>
      <c r="J74" s="239">
        <f>+Aktivitetsresultat!C35</f>
        <v>299557</v>
      </c>
    </row>
    <row r="75" spans="1:10" ht="15.75">
      <c r="A75" s="53" t="s">
        <v>174</v>
      </c>
      <c r="C75" s="276">
        <v>0.61</v>
      </c>
      <c r="D75" s="276">
        <v>0.63</v>
      </c>
      <c r="E75" s="238">
        <v>0.66</v>
      </c>
      <c r="H75" s="120" t="s">
        <v>140</v>
      </c>
      <c r="I75" s="240">
        <f>+Aktivitetsresultat!C37</f>
        <v>775023</v>
      </c>
      <c r="J75" s="240">
        <f>+Aktivitetsresultat!C37</f>
        <v>775023</v>
      </c>
    </row>
    <row r="76" spans="1:10" ht="15.75">
      <c r="A76" s="53"/>
      <c r="D76" s="238"/>
      <c r="I76" s="240"/>
      <c r="J76" s="240"/>
    </row>
    <row r="77" spans="1:10" ht="15.75">
      <c r="A77" s="232" t="s">
        <v>219</v>
      </c>
      <c r="B77" s="233"/>
      <c r="C77" s="233"/>
      <c r="D77" s="233"/>
      <c r="E77" s="233"/>
      <c r="I77" s="241">
        <f>+I74/I75</f>
        <v>0.6134863094385586</v>
      </c>
      <c r="J77" s="241">
        <f>+J74/J75</f>
        <v>0.3865136905614414</v>
      </c>
    </row>
    <row r="78" spans="1:4" ht="12.75">
      <c r="A78" s="243"/>
      <c r="B78" s="244"/>
      <c r="C78" s="244"/>
      <c r="D78" s="245" t="s">
        <v>175</v>
      </c>
    </row>
    <row r="79" spans="1:4" ht="12.75">
      <c r="A79" s="246"/>
      <c r="B79" s="247"/>
      <c r="C79" s="247"/>
      <c r="D79" s="248" t="s">
        <v>176</v>
      </c>
    </row>
    <row r="80" spans="1:4" ht="12.75">
      <c r="A80" s="249" t="s">
        <v>236</v>
      </c>
      <c r="B80" s="250"/>
      <c r="C80" s="250"/>
      <c r="D80" s="251">
        <f>+Balanse!D19</f>
        <v>1757753.37</v>
      </c>
    </row>
    <row r="81" spans="1:4" ht="12.75">
      <c r="A81" s="249" t="s">
        <v>141</v>
      </c>
      <c r="B81" s="252"/>
      <c r="C81" s="252"/>
      <c r="D81" s="253">
        <f>+Aktivitetsresultat!C45</f>
        <v>-21589</v>
      </c>
    </row>
    <row r="82" spans="1:4" ht="12.75">
      <c r="A82" s="254" t="s">
        <v>235</v>
      </c>
      <c r="B82" s="255"/>
      <c r="C82" s="255"/>
      <c r="D82" s="256">
        <f>SUM(D80:D81)</f>
        <v>1736164.37</v>
      </c>
    </row>
    <row r="83" ht="15.75">
      <c r="A83" s="231"/>
    </row>
    <row r="84" ht="15.75">
      <c r="A84" s="257" t="s">
        <v>220</v>
      </c>
    </row>
    <row r="85" ht="15.75">
      <c r="A85" s="53" t="s">
        <v>177</v>
      </c>
    </row>
    <row r="86" spans="1:5" ht="15.75">
      <c r="A86" s="258"/>
      <c r="B86" s="229"/>
      <c r="C86" s="209">
        <v>2013</v>
      </c>
      <c r="D86" s="209">
        <v>2012</v>
      </c>
      <c r="E86" s="210">
        <v>2011</v>
      </c>
    </row>
    <row r="87" spans="1:5" ht="12.75">
      <c r="A87" s="259" t="s">
        <v>223</v>
      </c>
      <c r="B87" s="220"/>
      <c r="C87" s="213">
        <v>127500</v>
      </c>
      <c r="D87" s="213">
        <v>134566</v>
      </c>
      <c r="E87" s="214">
        <v>107500</v>
      </c>
    </row>
    <row r="88" spans="1:5" ht="12.75">
      <c r="A88" s="259" t="s">
        <v>178</v>
      </c>
      <c r="B88" s="220"/>
      <c r="C88" s="213">
        <v>17977</v>
      </c>
      <c r="D88" s="213">
        <v>18974</v>
      </c>
      <c r="E88" s="214">
        <v>15158</v>
      </c>
    </row>
    <row r="89" spans="1:5" ht="12.75">
      <c r="A89" s="259" t="s">
        <v>222</v>
      </c>
      <c r="B89" s="220"/>
      <c r="C89" s="213">
        <v>0</v>
      </c>
      <c r="D89" s="213">
        <v>500</v>
      </c>
      <c r="E89" s="214">
        <v>0</v>
      </c>
    </row>
    <row r="90" spans="1:5" ht="12.75">
      <c r="A90" s="260" t="s">
        <v>221</v>
      </c>
      <c r="B90" s="236"/>
      <c r="C90" s="239">
        <v>-14263</v>
      </c>
      <c r="D90" s="239">
        <v>-14263</v>
      </c>
      <c r="E90" s="261">
        <v>0</v>
      </c>
    </row>
    <row r="91" spans="1:11" ht="15.75">
      <c r="A91" s="262" t="s">
        <v>69</v>
      </c>
      <c r="B91" s="236"/>
      <c r="C91" s="242">
        <f>SUM(C87:C90)</f>
        <v>131214</v>
      </c>
      <c r="D91" s="242">
        <f>SUM(D87:D90)</f>
        <v>139777</v>
      </c>
      <c r="E91" s="218">
        <f>SUM(E87:E90)</f>
        <v>122658</v>
      </c>
      <c r="H91" s="271"/>
      <c r="I91" s="271"/>
      <c r="J91" s="270"/>
      <c r="K91" s="60"/>
    </row>
    <row r="92" spans="1:8" ht="15.75">
      <c r="A92" s="53" t="s">
        <v>179</v>
      </c>
      <c r="H92" s="240"/>
    </row>
    <row r="93" spans="1:8" ht="15.75">
      <c r="A93" s="53" t="s">
        <v>180</v>
      </c>
      <c r="H93" s="240"/>
    </row>
    <row r="94" ht="15.75">
      <c r="A94" s="257"/>
    </row>
    <row r="95" spans="1:5" ht="25.5">
      <c r="A95" s="223" t="s">
        <v>181</v>
      </c>
      <c r="B95" s="263"/>
      <c r="C95" s="264" t="s">
        <v>152</v>
      </c>
      <c r="D95" s="277" t="s">
        <v>182</v>
      </c>
      <c r="E95" s="278" t="s">
        <v>69</v>
      </c>
    </row>
    <row r="96" spans="1:5" ht="12.75">
      <c r="A96" s="272" t="s">
        <v>209</v>
      </c>
      <c r="B96" s="273"/>
      <c r="C96" s="274">
        <v>30000</v>
      </c>
      <c r="D96" s="274">
        <v>1029.85</v>
      </c>
      <c r="E96" s="214">
        <f aca="true" t="shared" si="0" ref="E96:E101">SUM(C96:D96)</f>
        <v>31029.85</v>
      </c>
    </row>
    <row r="97" spans="1:5" ht="12.75" hidden="1">
      <c r="A97" s="219" t="s">
        <v>153</v>
      </c>
      <c r="B97" s="220"/>
      <c r="C97" s="265">
        <v>0</v>
      </c>
      <c r="D97" s="265">
        <v>0</v>
      </c>
      <c r="E97" s="214">
        <f t="shared" si="0"/>
        <v>0</v>
      </c>
    </row>
    <row r="98" spans="1:5" ht="12.75" hidden="1">
      <c r="A98" s="219" t="s">
        <v>206</v>
      </c>
      <c r="B98" s="220"/>
      <c r="C98" s="265">
        <v>0</v>
      </c>
      <c r="D98" s="265">
        <v>0</v>
      </c>
      <c r="E98" s="214">
        <f t="shared" si="0"/>
        <v>0</v>
      </c>
    </row>
    <row r="99" spans="1:5" ht="12.75">
      <c r="A99" s="219" t="s">
        <v>183</v>
      </c>
      <c r="B99" s="220"/>
      <c r="C99" s="265">
        <f>7500+7500+7500+7500+7500</f>
        <v>37500</v>
      </c>
      <c r="D99" s="265">
        <v>1944</v>
      </c>
      <c r="E99" s="214">
        <f t="shared" si="0"/>
        <v>39444</v>
      </c>
    </row>
    <row r="100" spans="1:5" ht="12.75">
      <c r="A100" s="219" t="s">
        <v>154</v>
      </c>
      <c r="B100" s="220"/>
      <c r="C100" s="265">
        <v>15000</v>
      </c>
      <c r="D100" s="265">
        <v>2464.95</v>
      </c>
      <c r="E100" s="214">
        <f t="shared" si="0"/>
        <v>17464.95</v>
      </c>
    </row>
    <row r="101" spans="1:5" ht="12.75">
      <c r="A101" s="275" t="s">
        <v>210</v>
      </c>
      <c r="B101" s="236"/>
      <c r="C101" s="239">
        <v>12500</v>
      </c>
      <c r="D101" s="236">
        <v>0</v>
      </c>
      <c r="E101" s="261">
        <f t="shared" si="0"/>
        <v>12500</v>
      </c>
    </row>
    <row r="102" spans="1:5" ht="12.75">
      <c r="A102" s="228" t="s">
        <v>69</v>
      </c>
      <c r="B102" s="266"/>
      <c r="C102" s="267">
        <f>SUM(C96:C101)</f>
        <v>95000</v>
      </c>
      <c r="D102" s="267">
        <f>SUM(D96:D101)</f>
        <v>5438.799999999999</v>
      </c>
      <c r="E102" s="279">
        <f>SUM(E96:E101)</f>
        <v>100438.8</v>
      </c>
    </row>
    <row r="103" ht="12.75">
      <c r="A103" s="120" t="s">
        <v>211</v>
      </c>
    </row>
    <row r="104" ht="15.75">
      <c r="A104" s="80" t="s">
        <v>239</v>
      </c>
    </row>
    <row r="105" ht="15.75">
      <c r="A105" s="53" t="s">
        <v>184</v>
      </c>
    </row>
  </sheetData>
  <sheetProtection/>
  <printOptions/>
  <pageMargins left="0.7874015748031497" right="0.4330708661417323" top="0.5905511811023623" bottom="0.31496062992125984" header="0.7874015748031497" footer="0.1968503937007874"/>
  <pageSetup horizontalDpi="600" verticalDpi="600" orientation="portrait" paperSize="9" r:id="rId1"/>
  <headerFooter alignWithMargins="0">
    <oddFooter>&amp;L&amp;8Norsk arbeidsmedisinsk forening&amp;R&amp;8Noter 2013</oddFooter>
  </headerFooter>
  <rowBreaks count="1" manualBreakCount="1">
    <brk id="49" max="255" man="1"/>
  </rowBreaks>
  <ignoredErrors>
    <ignoredError sqref="C91:E9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0"/>
  <sheetViews>
    <sheetView zoomScalePageLayoutView="0" workbookViewId="0" topLeftCell="A1">
      <pane xSplit="1" ySplit="6" topLeftCell="B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"/>
    </sheetView>
  </sheetViews>
  <sheetFormatPr defaultColWidth="9" defaultRowHeight="15"/>
  <cols>
    <col min="1" max="1" width="33" style="2" customWidth="1"/>
    <col min="2" max="2" width="13.19921875" style="52" customWidth="1"/>
    <col min="3" max="4" width="10.59765625" style="53" customWidth="1"/>
    <col min="5" max="5" width="11.3984375" style="52" hidden="1" customWidth="1"/>
    <col min="6" max="6" width="11.8984375" style="52" hidden="1" customWidth="1"/>
    <col min="7" max="7" width="11.5" style="54" hidden="1" customWidth="1"/>
    <col min="8" max="16384" width="9" style="2" customWidth="1"/>
  </cols>
  <sheetData>
    <row r="1" spans="1:7" s="10" customFormat="1" ht="25.5">
      <c r="A1" s="6" t="s">
        <v>9</v>
      </c>
      <c r="B1" s="7"/>
      <c r="C1" s="8"/>
      <c r="D1" s="8"/>
      <c r="E1" s="7"/>
      <c r="F1" s="7"/>
      <c r="G1" s="9"/>
    </row>
    <row r="2" spans="2:7" s="10" customFormat="1" ht="20.25" customHeight="1">
      <c r="B2" s="11"/>
      <c r="C2" s="12"/>
      <c r="D2" s="12"/>
      <c r="E2" s="11"/>
      <c r="F2" s="11"/>
      <c r="G2" s="13" t="s">
        <v>1</v>
      </c>
    </row>
    <row r="3" spans="1:7" s="10" customFormat="1" ht="21" thickBot="1">
      <c r="A3" s="14" t="s">
        <v>39</v>
      </c>
      <c r="B3" s="15"/>
      <c r="C3" s="16"/>
      <c r="D3" s="16"/>
      <c r="E3" s="15"/>
      <c r="F3" s="17"/>
      <c r="G3" s="18"/>
    </row>
    <row r="4" spans="1:7" s="10" customFormat="1" ht="20.25">
      <c r="A4" s="19"/>
      <c r="B4" s="15"/>
      <c r="C4" s="16"/>
      <c r="D4" s="16"/>
      <c r="E4" s="15"/>
      <c r="F4" s="15"/>
      <c r="G4" s="20"/>
    </row>
    <row r="5" spans="1:7" ht="21" customHeight="1">
      <c r="A5" s="21"/>
      <c r="B5" s="127" t="s">
        <v>10</v>
      </c>
      <c r="C5" s="127" t="s">
        <v>10</v>
      </c>
      <c r="D5" s="127" t="s">
        <v>10</v>
      </c>
      <c r="E5" s="22" t="s">
        <v>10</v>
      </c>
      <c r="F5" s="23" t="s">
        <v>10</v>
      </c>
      <c r="G5" s="24" t="s">
        <v>10</v>
      </c>
    </row>
    <row r="6" spans="1:7" ht="19.5" customHeight="1">
      <c r="A6" s="25"/>
      <c r="B6" s="26">
        <v>2013</v>
      </c>
      <c r="C6" s="26">
        <v>2012</v>
      </c>
      <c r="D6" s="26">
        <v>2011</v>
      </c>
      <c r="E6" s="26">
        <v>2004</v>
      </c>
      <c r="F6" s="23">
        <v>2001</v>
      </c>
      <c r="G6" s="27">
        <v>1999</v>
      </c>
    </row>
    <row r="7" spans="1:7" ht="15.75">
      <c r="A7" s="28"/>
      <c r="B7" s="29"/>
      <c r="C7" s="30"/>
      <c r="D7" s="30"/>
      <c r="E7" s="29"/>
      <c r="F7" s="29"/>
      <c r="G7" s="31"/>
    </row>
    <row r="8" spans="1:7" ht="15.75">
      <c r="A8" s="32" t="s">
        <v>43</v>
      </c>
      <c r="B8" s="29"/>
      <c r="C8" s="30"/>
      <c r="D8" s="30"/>
      <c r="E8" s="29"/>
      <c r="F8" s="31"/>
      <c r="G8" s="31"/>
    </row>
    <row r="9" spans="1:7" ht="15.75" hidden="1">
      <c r="A9" s="28" t="s">
        <v>56</v>
      </c>
      <c r="B9" s="33">
        <v>0</v>
      </c>
      <c r="C9" s="33">
        <v>0</v>
      </c>
      <c r="D9" s="33">
        <v>0</v>
      </c>
      <c r="E9" s="34">
        <v>28000</v>
      </c>
      <c r="F9" s="31"/>
      <c r="G9" s="31"/>
    </row>
    <row r="10" spans="1:7" ht="15.75">
      <c r="A10" s="28" t="s">
        <v>104</v>
      </c>
      <c r="B10" s="201">
        <f>+'Res per aktivitet'!F26</f>
        <v>698355</v>
      </c>
      <c r="C10" s="201">
        <v>681390</v>
      </c>
      <c r="D10" s="201">
        <v>827013</v>
      </c>
      <c r="E10" s="35">
        <v>663748</v>
      </c>
      <c r="F10" s="31">
        <v>305600</v>
      </c>
      <c r="G10" s="31">
        <v>334800</v>
      </c>
    </row>
    <row r="11" spans="1:7" ht="15.75">
      <c r="A11" s="28" t="s">
        <v>45</v>
      </c>
      <c r="B11" s="201">
        <f>+'Res per aktivitet'!G26</f>
        <v>8375</v>
      </c>
      <c r="C11" s="201">
        <v>8657</v>
      </c>
      <c r="D11" s="201">
        <v>18750</v>
      </c>
      <c r="E11" s="35">
        <v>28875</v>
      </c>
      <c r="F11" s="31"/>
      <c r="G11" s="31"/>
    </row>
    <row r="12" spans="1:7" ht="15.75">
      <c r="A12" s="28" t="s">
        <v>42</v>
      </c>
      <c r="B12" s="201">
        <f>+'Res per aktivitet'!H26</f>
        <v>0</v>
      </c>
      <c r="C12" s="201">
        <v>0</v>
      </c>
      <c r="D12" s="201">
        <v>0</v>
      </c>
      <c r="E12" s="35">
        <v>190925</v>
      </c>
      <c r="F12" s="31">
        <v>1412245</v>
      </c>
      <c r="G12" s="31">
        <v>1170515</v>
      </c>
    </row>
    <row r="13" spans="1:7" ht="15.75" hidden="1">
      <c r="A13" s="28" t="s">
        <v>11</v>
      </c>
      <c r="B13" s="201"/>
      <c r="C13" s="201"/>
      <c r="D13" s="201"/>
      <c r="E13" s="35"/>
      <c r="F13" s="31">
        <v>212508</v>
      </c>
      <c r="G13" s="31">
        <v>175000</v>
      </c>
    </row>
    <row r="14" spans="1:7" ht="15.75">
      <c r="A14" s="28" t="s">
        <v>12</v>
      </c>
      <c r="B14" s="201">
        <f>+'Res per aktivitet'!I26</f>
        <v>0</v>
      </c>
      <c r="C14" s="201">
        <v>0</v>
      </c>
      <c r="D14" s="201">
        <v>0</v>
      </c>
      <c r="E14" s="35">
        <v>222075</v>
      </c>
      <c r="F14" s="31">
        <v>100250</v>
      </c>
      <c r="G14" s="31">
        <f>76415+42250</f>
        <v>118665</v>
      </c>
    </row>
    <row r="15" spans="1:7" s="39" customFormat="1" ht="15.75">
      <c r="A15" s="36" t="s">
        <v>44</v>
      </c>
      <c r="B15" s="202">
        <f>SUM(B9:B14)</f>
        <v>706730</v>
      </c>
      <c r="C15" s="202">
        <v>690047</v>
      </c>
      <c r="D15" s="202">
        <v>845763</v>
      </c>
      <c r="E15" s="37">
        <v>1133623</v>
      </c>
      <c r="F15" s="38">
        <f>SUM(F10:F14)</f>
        <v>2030603</v>
      </c>
      <c r="G15" s="38">
        <f>SUM(G10:G14)</f>
        <v>1798980</v>
      </c>
    </row>
    <row r="16" spans="1:7" ht="15.75">
      <c r="A16" s="28"/>
      <c r="B16" s="126"/>
      <c r="C16" s="201"/>
      <c r="D16" s="201"/>
      <c r="E16" s="35"/>
      <c r="F16" s="31"/>
      <c r="G16" s="31"/>
    </row>
    <row r="17" spans="1:7" ht="15.75">
      <c r="A17" s="32" t="s">
        <v>46</v>
      </c>
      <c r="B17" s="126"/>
      <c r="C17" s="201"/>
      <c r="D17" s="201"/>
      <c r="E17" s="35"/>
      <c r="F17" s="31"/>
      <c r="G17" s="31"/>
    </row>
    <row r="18" spans="1:7" ht="15.75" hidden="1">
      <c r="A18" s="28" t="s">
        <v>48</v>
      </c>
      <c r="B18" s="126"/>
      <c r="C18" s="201"/>
      <c r="D18" s="201"/>
      <c r="E18" s="35"/>
      <c r="F18" s="31"/>
      <c r="G18" s="31"/>
    </row>
    <row r="19" spans="1:7" ht="15.75">
      <c r="A19" s="28" t="s">
        <v>26</v>
      </c>
      <c r="B19" s="201">
        <f>+'Res per aktivitet'!M26</f>
        <v>14500</v>
      </c>
      <c r="C19" s="201">
        <v>20750</v>
      </c>
      <c r="D19" s="201">
        <v>22500</v>
      </c>
      <c r="E19" s="35">
        <v>24800</v>
      </c>
      <c r="F19" s="31"/>
      <c r="G19" s="31"/>
    </row>
    <row r="20" spans="1:7" ht="15.75">
      <c r="A20" s="28" t="s">
        <v>34</v>
      </c>
      <c r="B20" s="201">
        <f>+'Res per aktivitet'!N26</f>
        <v>131216</v>
      </c>
      <c r="C20" s="201">
        <v>139778</v>
      </c>
      <c r="D20" s="201">
        <v>122658</v>
      </c>
      <c r="E20" s="35">
        <v>231518.42</v>
      </c>
      <c r="F20" s="31">
        <v>139841</v>
      </c>
      <c r="G20" s="31">
        <v>74284.99</v>
      </c>
    </row>
    <row r="21" spans="1:7" ht="15.75">
      <c r="A21" s="28" t="s">
        <v>13</v>
      </c>
      <c r="B21" s="201">
        <f>+'Res per aktivitet'!P26</f>
        <v>382962</v>
      </c>
      <c r="C21" s="201">
        <v>389250</v>
      </c>
      <c r="D21" s="201">
        <v>379126</v>
      </c>
      <c r="E21" s="35">
        <v>275664.04</v>
      </c>
      <c r="F21" s="31">
        <v>453730</v>
      </c>
      <c r="G21" s="31">
        <v>475104.51</v>
      </c>
    </row>
    <row r="22" spans="1:7" ht="15.75">
      <c r="A22" s="28" t="s">
        <v>14</v>
      </c>
      <c r="B22" s="201">
        <f>+'Res per aktivitet'!O26</f>
        <v>690</v>
      </c>
      <c r="C22" s="201">
        <v>5010</v>
      </c>
      <c r="D22" s="201">
        <v>3285</v>
      </c>
      <c r="E22" s="35">
        <v>70144.06</v>
      </c>
      <c r="F22" s="31">
        <v>34221</v>
      </c>
      <c r="G22" s="31">
        <v>58446.96</v>
      </c>
    </row>
    <row r="23" spans="1:7" ht="15.75">
      <c r="A23" s="28" t="s">
        <v>15</v>
      </c>
      <c r="B23" s="201">
        <f>+'Res per aktivitet'!Q26</f>
        <v>189955</v>
      </c>
      <c r="C23" s="201">
        <v>183791</v>
      </c>
      <c r="D23" s="201">
        <v>167979</v>
      </c>
      <c r="E23" s="35">
        <v>580168.07</v>
      </c>
      <c r="F23" s="31">
        <v>1261407</v>
      </c>
      <c r="G23" s="31">
        <v>1248436</v>
      </c>
    </row>
    <row r="24" spans="1:7" ht="15.75">
      <c r="A24" s="28" t="s">
        <v>47</v>
      </c>
      <c r="B24" s="201">
        <f>+'Res per aktivitet'!R26</f>
        <v>0</v>
      </c>
      <c r="C24" s="201">
        <v>0</v>
      </c>
      <c r="D24" s="201">
        <v>0</v>
      </c>
      <c r="E24" s="35">
        <v>28608</v>
      </c>
      <c r="F24" s="31">
        <v>6750</v>
      </c>
      <c r="G24" s="31">
        <v>4100</v>
      </c>
    </row>
    <row r="25" spans="1:7" ht="15.75">
      <c r="A25" s="28" t="s">
        <v>16</v>
      </c>
      <c r="B25" s="201">
        <f>+'Res per aktivitet'!S26</f>
        <v>5700</v>
      </c>
      <c r="C25" s="201">
        <v>8657</v>
      </c>
      <c r="D25" s="201">
        <v>4673</v>
      </c>
      <c r="E25" s="35">
        <v>3608.08</v>
      </c>
      <c r="F25" s="31">
        <v>8669</v>
      </c>
      <c r="G25" s="31">
        <v>23445.18</v>
      </c>
    </row>
    <row r="26" spans="1:7" ht="15.75">
      <c r="A26" s="28" t="s">
        <v>118</v>
      </c>
      <c r="B26" s="1">
        <f>+'Res per aktivitet'!T26</f>
        <v>50000</v>
      </c>
      <c r="C26" s="40">
        <v>10000</v>
      </c>
      <c r="D26" s="40">
        <v>0</v>
      </c>
      <c r="E26" s="40">
        <v>0</v>
      </c>
      <c r="F26" s="31">
        <v>10750</v>
      </c>
      <c r="G26" s="31">
        <v>-2400</v>
      </c>
    </row>
    <row r="27" spans="1:7" s="39" customFormat="1" ht="15.75">
      <c r="A27" s="36" t="s">
        <v>49</v>
      </c>
      <c r="B27" s="202">
        <f>SUM(B19:B26)</f>
        <v>775023</v>
      </c>
      <c r="C27" s="202">
        <v>757236</v>
      </c>
      <c r="D27" s="202">
        <v>700221</v>
      </c>
      <c r="E27" s="37">
        <v>1214510.67</v>
      </c>
      <c r="F27" s="38">
        <f>SUM(F20:F26)</f>
        <v>1915368</v>
      </c>
      <c r="G27" s="38">
        <f>SUM(G20:G26)</f>
        <v>1881417.64</v>
      </c>
    </row>
    <row r="28" spans="1:7" ht="16.5" thickBot="1">
      <c r="A28" s="28"/>
      <c r="B28" s="126"/>
      <c r="C28" s="201"/>
      <c r="D28" s="201"/>
      <c r="E28" s="35"/>
      <c r="F28" s="41"/>
      <c r="G28" s="41"/>
    </row>
    <row r="29" spans="1:7" s="39" customFormat="1" ht="15.75">
      <c r="A29" s="25" t="s">
        <v>50</v>
      </c>
      <c r="B29" s="203">
        <f>B15-B27</f>
        <v>-68293</v>
      </c>
      <c r="C29" s="203">
        <v>-67189</v>
      </c>
      <c r="D29" s="203">
        <v>145542</v>
      </c>
      <c r="E29" s="42">
        <v>-80887.66999999993</v>
      </c>
      <c r="F29" s="24">
        <f>F15-F27</f>
        <v>115235</v>
      </c>
      <c r="G29" s="24">
        <f>G15-G27</f>
        <v>-82437.6399999999</v>
      </c>
    </row>
    <row r="30" spans="1:7" ht="15.75">
      <c r="A30" s="43"/>
      <c r="B30" s="204"/>
      <c r="C30" s="205"/>
      <c r="D30" s="205"/>
      <c r="E30" s="45"/>
      <c r="F30" s="46"/>
      <c r="G30" s="46"/>
    </row>
    <row r="31" spans="1:7" ht="15.75">
      <c r="A31" s="32" t="s">
        <v>51</v>
      </c>
      <c r="B31" s="126"/>
      <c r="C31" s="201"/>
      <c r="D31" s="201"/>
      <c r="E31" s="35"/>
      <c r="F31" s="31"/>
      <c r="G31" s="31"/>
    </row>
    <row r="32" spans="1:7" ht="15.75">
      <c r="A32" s="28" t="s">
        <v>17</v>
      </c>
      <c r="B32" s="40">
        <f>+'Res per aktivitet'!V26</f>
        <v>46702</v>
      </c>
      <c r="C32" s="40">
        <v>55170</v>
      </c>
      <c r="D32" s="40">
        <v>52487</v>
      </c>
      <c r="E32" s="35">
        <v>19816.2</v>
      </c>
      <c r="F32" s="31">
        <v>60070</v>
      </c>
      <c r="G32" s="31">
        <v>44833.58</v>
      </c>
    </row>
    <row r="33" spans="1:7" ht="15.75" hidden="1">
      <c r="A33" s="28" t="s">
        <v>18</v>
      </c>
      <c r="B33" s="40">
        <f>+'Res per aktivitet'!W26</f>
        <v>0</v>
      </c>
      <c r="C33" s="40">
        <v>0</v>
      </c>
      <c r="D33" s="40">
        <v>0</v>
      </c>
      <c r="E33" s="35">
        <v>240</v>
      </c>
      <c r="F33" s="31"/>
      <c r="G33" s="31"/>
    </row>
    <row r="34" spans="1:7" s="39" customFormat="1" ht="15.75">
      <c r="A34" s="36" t="s">
        <v>52</v>
      </c>
      <c r="B34" s="177">
        <f>B32-B33</f>
        <v>46702</v>
      </c>
      <c r="C34" s="177">
        <v>55170</v>
      </c>
      <c r="D34" s="177">
        <v>52487</v>
      </c>
      <c r="E34" s="47">
        <v>19576.2</v>
      </c>
      <c r="F34" s="38">
        <f>F32-F33</f>
        <v>60070</v>
      </c>
      <c r="G34" s="38">
        <f>G32-G33</f>
        <v>44833.58</v>
      </c>
    </row>
    <row r="35" spans="1:7" s="39" customFormat="1" ht="15.75">
      <c r="A35" s="32"/>
      <c r="B35" s="150"/>
      <c r="C35" s="180"/>
      <c r="D35" s="180"/>
      <c r="E35" s="48"/>
      <c r="F35" s="38"/>
      <c r="G35" s="38"/>
    </row>
    <row r="36" spans="1:7" s="39" customFormat="1" ht="15.75">
      <c r="A36" s="25" t="s">
        <v>53</v>
      </c>
      <c r="B36" s="183">
        <f>B29+B34+2</f>
        <v>-21589</v>
      </c>
      <c r="C36" s="183">
        <v>-12017</v>
      </c>
      <c r="D36" s="183">
        <v>198030</v>
      </c>
      <c r="E36" s="49">
        <v>-61311.46999999993</v>
      </c>
      <c r="F36" s="24">
        <f>F29+F34</f>
        <v>175305</v>
      </c>
      <c r="G36" s="24">
        <f>G29+G34</f>
        <v>-37604.059999999896</v>
      </c>
    </row>
    <row r="37" spans="1:7" s="51" customFormat="1" ht="15.75">
      <c r="A37" s="43"/>
      <c r="B37" s="44"/>
      <c r="C37" s="50"/>
      <c r="D37" s="50"/>
      <c r="E37" s="46"/>
      <c r="F37" s="46"/>
      <c r="G37" s="46"/>
    </row>
    <row r="38" spans="1:6" ht="15.75" hidden="1">
      <c r="A38" s="39" t="s">
        <v>54</v>
      </c>
      <c r="E38" s="54"/>
      <c r="F38" s="54"/>
    </row>
    <row r="39" spans="1:7" ht="15.75" customHeight="1" hidden="1">
      <c r="A39" s="28" t="s">
        <v>21</v>
      </c>
      <c r="B39" s="31">
        <f>B36</f>
        <v>-21589</v>
      </c>
      <c r="C39" s="31">
        <v>-12017</v>
      </c>
      <c r="D39" s="31">
        <v>198030</v>
      </c>
      <c r="E39" s="31">
        <v>-61311.46999999993</v>
      </c>
      <c r="F39" s="31">
        <v>175305</v>
      </c>
      <c r="G39" s="31">
        <f>G36</f>
        <v>-37604.059999999896</v>
      </c>
    </row>
    <row r="40" spans="1:7" s="39" customFormat="1" ht="16.5" hidden="1" thickBot="1">
      <c r="A40" s="55" t="s">
        <v>55</v>
      </c>
      <c r="B40" s="56">
        <f>B39</f>
        <v>-21589</v>
      </c>
      <c r="C40" s="56">
        <v>-12017</v>
      </c>
      <c r="D40" s="56">
        <v>198030</v>
      </c>
      <c r="E40" s="56">
        <v>-61311.46999999993</v>
      </c>
      <c r="F40" s="57">
        <f>F39</f>
        <v>175305</v>
      </c>
      <c r="G40" s="57">
        <f>G39</f>
        <v>-37604.059999999896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regnskap 1994 - Norsk overlegeforening</dc:title>
  <dc:subject/>
  <dc:creator>Heidi Holmen</dc:creator>
  <cp:keywords/>
  <dc:description/>
  <cp:lastModifiedBy>Eli Berg-Hansen</cp:lastModifiedBy>
  <cp:lastPrinted>2014-03-03T11:17:38Z</cp:lastPrinted>
  <dcterms:created xsi:type="dcterms:W3CDTF">1998-08-12T13:37:24Z</dcterms:created>
  <dcterms:modified xsi:type="dcterms:W3CDTF">2014-03-03T11:20:32Z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-296984891</vt:i4>
  </property>
  <property fmtid="{D5CDD505-2E9C-101B-9397-08002B2CF9AE}" pid="3" name="_NewReviewCycle">
    <vt:lpwstr/>
  </property>
  <property fmtid="{D5CDD505-2E9C-101B-9397-08002B2CF9AE}" pid="4" name="_EmailSubject">
    <vt:lpwstr>Dokumenter til nettsidene - årsmøtet</vt:lpwstr>
  </property>
  <property fmtid="{D5CDD505-2E9C-101B-9397-08002B2CF9AE}" pid="5" name="_AuthorEmail">
    <vt:lpwstr>Eli.Berg-Hansen@legeforeningen.no</vt:lpwstr>
  </property>
  <property fmtid="{D5CDD505-2E9C-101B-9397-08002B2CF9AE}" pid="6" name="_AuthorEmailDisplayName">
    <vt:lpwstr>Eli Berg-Hansen</vt:lpwstr>
  </property>
  <property fmtid="{D5CDD505-2E9C-101B-9397-08002B2CF9AE}" pid="7" name="_PreviousAdHocReviewCycleID">
    <vt:i4>-515452336</vt:i4>
  </property>
</Properties>
</file>